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tarikov-IA\Documents\"/>
    </mc:Choice>
  </mc:AlternateContent>
  <xr:revisionPtr revIDLastSave="0" documentId="8_{0D9E2A7C-0109-4B18-AD8A-1E74957EFF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0" r:id="rId1"/>
    <sheet name="Приложение 15.06.2021" sheetId="12" r:id="rId2"/>
    <sheet name="Лист2" sheetId="13" r:id="rId3"/>
    <sheet name="Координаты" sheetId="11" r:id="rId4"/>
    <sheet name="Лист1" sheetId="14" r:id="rId5"/>
  </sheets>
  <definedNames>
    <definedName name="_xlnm._FilterDatabase" localSheetId="3" hidden="1">Координаты!$A$4:$Q$4</definedName>
    <definedName name="_xlnm._FilterDatabase" localSheetId="0" hidden="1">Приложение!$A$4:$J$4</definedName>
    <definedName name="_xlnm._FilterDatabase" localSheetId="1" hidden="1">'Приложение 15.06.2021'!$A$4:$K$4</definedName>
    <definedName name="_xlnm.Print_Titles" localSheetId="3">Координаты!$2:$4</definedName>
    <definedName name="_xlnm.Print_Titles" localSheetId="0">Приложение!$2:$4</definedName>
    <definedName name="_xlnm.Print_Titles" localSheetId="1">'Приложение 15.06.2021'!$2:$4</definedName>
    <definedName name="_xlnm.Print_Area" localSheetId="3">Координаты!$A$1:$Q$49</definedName>
    <definedName name="_xlnm.Print_Area" localSheetId="2">Лист2!$A$1:$D$15</definedName>
    <definedName name="_xlnm.Print_Area" localSheetId="0">Приложение!$A$1:$L$50</definedName>
    <definedName name="_xlnm.Print_Area" localSheetId="1">'Приложение 15.06.2021'!$A$1:$AD$83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4" i="12" l="1"/>
  <c r="N72" i="12" s="1"/>
  <c r="D70" i="12" l="1"/>
  <c r="D69" i="12"/>
  <c r="D68" i="12"/>
  <c r="D65" i="12"/>
  <c r="D64" i="12"/>
  <c r="D62" i="12"/>
  <c r="D61" i="12"/>
  <c r="D59" i="12"/>
  <c r="D57" i="12"/>
  <c r="D63" i="12"/>
  <c r="D56" i="12"/>
  <c r="D73" i="12" l="1"/>
  <c r="N65" i="12"/>
  <c r="N64" i="12"/>
  <c r="N59" i="12"/>
  <c r="N71" i="12"/>
  <c r="N67" i="12"/>
  <c r="N66" i="12"/>
  <c r="N63" i="12"/>
  <c r="N60" i="12"/>
  <c r="N58" i="12"/>
  <c r="K5" i="12" l="1"/>
  <c r="K7" i="12"/>
  <c r="K8" i="12"/>
  <c r="D10" i="12"/>
  <c r="E10" i="12"/>
  <c r="J10" i="12"/>
  <c r="K10" i="12" l="1"/>
  <c r="N30" i="12"/>
  <c r="K32" i="12" l="1"/>
  <c r="N28" i="12" l="1"/>
  <c r="N26" i="12" l="1"/>
  <c r="K31" i="12" l="1"/>
  <c r="N5" i="12" l="1"/>
  <c r="N56" i="12" s="1"/>
  <c r="AB33" i="12" l="1"/>
  <c r="AB32" i="12"/>
  <c r="AD23" i="12"/>
  <c r="AD22" i="12"/>
  <c r="AD16" i="12"/>
  <c r="AB14" i="12"/>
  <c r="AD13" i="12"/>
  <c r="AD35" i="12" s="1"/>
  <c r="AC26" i="12"/>
  <c r="AC27" i="12"/>
  <c r="AC28" i="12"/>
  <c r="AC30" i="12"/>
  <c r="AC31" i="12"/>
  <c r="AC12" i="12"/>
  <c r="AC15" i="12"/>
  <c r="AC17" i="12"/>
  <c r="AC18" i="12"/>
  <c r="AC19" i="12"/>
  <c r="AC20" i="12"/>
  <c r="AC11" i="12"/>
  <c r="AC6" i="12"/>
  <c r="AC8" i="12"/>
  <c r="AC9" i="12"/>
  <c r="AA16" i="12"/>
  <c r="AA13" i="12"/>
  <c r="Y14" i="12"/>
  <c r="AA23" i="12"/>
  <c r="AA22" i="12"/>
  <c r="Y24" i="12"/>
  <c r="Y32" i="12"/>
  <c r="Z30" i="12"/>
  <c r="Z28" i="12"/>
  <c r="Z26" i="12"/>
  <c r="Z17" i="12"/>
  <c r="Z18" i="12"/>
  <c r="Z19" i="12"/>
  <c r="Z20" i="12"/>
  <c r="Z15" i="12"/>
  <c r="Z11" i="12"/>
  <c r="Z6" i="12"/>
  <c r="Z7" i="12"/>
  <c r="Z8" i="12"/>
  <c r="Z9" i="12"/>
  <c r="Z5" i="12"/>
  <c r="Y35" i="12" l="1"/>
  <c r="Z35" i="12"/>
  <c r="AA35" i="12"/>
  <c r="Y36" i="12"/>
  <c r="D6" i="14"/>
  <c r="D7" i="14"/>
  <c r="E7" i="14"/>
  <c r="E6" i="14"/>
  <c r="C5" i="14"/>
  <c r="D5" i="14" s="1"/>
  <c r="B5" i="14"/>
  <c r="O31" i="12"/>
  <c r="O33" i="12"/>
  <c r="O26" i="12"/>
  <c r="O28" i="12"/>
  <c r="O17" i="12"/>
  <c r="O6" i="12"/>
  <c r="O9" i="12"/>
  <c r="N18" i="12"/>
  <c r="O18" i="12" s="1"/>
  <c r="E5" i="14" l="1"/>
  <c r="P18" i="12"/>
  <c r="N27" i="12" l="1"/>
  <c r="N23" i="12"/>
  <c r="N22" i="12"/>
  <c r="N20" i="12"/>
  <c r="O20" i="12" s="1"/>
  <c r="N19" i="12"/>
  <c r="O19" i="12" s="1"/>
  <c r="N16" i="12"/>
  <c r="N15" i="12"/>
  <c r="O15" i="12" s="1"/>
  <c r="N14" i="12"/>
  <c r="N13" i="12"/>
  <c r="N12" i="12"/>
  <c r="N11" i="12"/>
  <c r="O23" i="12" l="1"/>
  <c r="N70" i="12"/>
  <c r="O22" i="12"/>
  <c r="N68" i="12"/>
  <c r="O16" i="12"/>
  <c r="N69" i="12"/>
  <c r="O27" i="12"/>
  <c r="N62" i="12"/>
  <c r="AB10" i="12"/>
  <c r="O11" i="12"/>
  <c r="AD1" i="12"/>
  <c r="O13" i="12"/>
  <c r="N21" i="12"/>
  <c r="O12" i="12"/>
  <c r="AC1" i="12"/>
  <c r="O14" i="12"/>
  <c r="AC7" i="12" l="1"/>
  <c r="N7" i="12"/>
  <c r="N61" i="12" s="1"/>
  <c r="AC5" i="12"/>
  <c r="AC35" i="12" s="1"/>
  <c r="O5" i="12"/>
  <c r="O21" i="12"/>
  <c r="O7" i="12" l="1"/>
  <c r="P21" i="12"/>
  <c r="C11" i="13"/>
  <c r="C14" i="13"/>
  <c r="C20" i="13" l="1"/>
  <c r="C23" i="13"/>
  <c r="C15" i="13"/>
  <c r="L33" i="12"/>
  <c r="L32" i="12"/>
  <c r="P43" i="12"/>
  <c r="P44" i="12"/>
  <c r="M35" i="10"/>
  <c r="K25" i="12"/>
  <c r="I46" i="12" s="1"/>
  <c r="B42" i="12"/>
  <c r="K24" i="12"/>
  <c r="K36" i="12" s="1"/>
  <c r="G51" i="12"/>
  <c r="G50" i="12"/>
  <c r="G49" i="12"/>
  <c r="H48" i="12"/>
  <c r="G48" i="12" s="1"/>
  <c r="I47" i="12"/>
  <c r="H47" i="12"/>
  <c r="I45" i="12"/>
  <c r="I44" i="12"/>
  <c r="K43" i="12"/>
  <c r="G43" i="12"/>
  <c r="G42" i="12"/>
  <c r="G41" i="12"/>
  <c r="G40" i="12"/>
  <c r="K34" i="12"/>
  <c r="R31" i="12" s="1"/>
  <c r="L31" i="12"/>
  <c r="L30" i="12"/>
  <c r="J29" i="12"/>
  <c r="E29" i="12"/>
  <c r="D29" i="12"/>
  <c r="L28" i="12"/>
  <c r="L26" i="12"/>
  <c r="L23" i="12"/>
  <c r="L22" i="12"/>
  <c r="K21" i="12"/>
  <c r="J21" i="12"/>
  <c r="E21" i="12"/>
  <c r="D21" i="12"/>
  <c r="E38" i="12" s="1"/>
  <c r="P20" i="12"/>
  <c r="L20" i="12"/>
  <c r="L19" i="12"/>
  <c r="L18" i="12"/>
  <c r="L17" i="12"/>
  <c r="L16" i="12"/>
  <c r="L15" i="12"/>
  <c r="L14" i="12"/>
  <c r="L13" i="12"/>
  <c r="L12" i="12"/>
  <c r="L11" i="12"/>
  <c r="R9" i="12"/>
  <c r="L9" i="12"/>
  <c r="L8" i="12"/>
  <c r="L7" i="12"/>
  <c r="L6" i="12"/>
  <c r="H45" i="12"/>
  <c r="M20" i="10"/>
  <c r="R24" i="10"/>
  <c r="R25" i="10" s="1"/>
  <c r="M25" i="10"/>
  <c r="M24" i="10"/>
  <c r="P24" i="12" l="1"/>
  <c r="U24" i="12"/>
  <c r="G45" i="12"/>
  <c r="U25" i="12"/>
  <c r="L25" i="12"/>
  <c r="P25" i="12"/>
  <c r="P42" i="12"/>
  <c r="AB24" i="12"/>
  <c r="N24" i="12"/>
  <c r="K29" i="12"/>
  <c r="R33" i="12"/>
  <c r="D35" i="12"/>
  <c r="E54" i="12" s="1"/>
  <c r="P37" i="12"/>
  <c r="AB25" i="12"/>
  <c r="N25" i="12"/>
  <c r="N57" i="12" s="1"/>
  <c r="N73" i="12" s="1"/>
  <c r="L34" i="12"/>
  <c r="O34" i="12"/>
  <c r="L21" i="12"/>
  <c r="L24" i="12"/>
  <c r="E35" i="12"/>
  <c r="L37" i="12"/>
  <c r="R26" i="10"/>
  <c r="B44" i="12"/>
  <c r="H46" i="12"/>
  <c r="G46" i="12" s="1"/>
  <c r="P38" i="12"/>
  <c r="G47" i="12"/>
  <c r="I52" i="12"/>
  <c r="Q9" i="12"/>
  <c r="H44" i="12"/>
  <c r="L5" i="12"/>
  <c r="J5" i="10"/>
  <c r="J7" i="10"/>
  <c r="U26" i="12" l="1"/>
  <c r="P26" i="12" s="1"/>
  <c r="R26" i="12" s="1"/>
  <c r="R28" i="12" s="1"/>
  <c r="L36" i="12"/>
  <c r="L38" i="12" s="1"/>
  <c r="L29" i="12"/>
  <c r="K35" i="12"/>
  <c r="K38" i="12"/>
  <c r="N29" i="12"/>
  <c r="N37" i="12"/>
  <c r="M37" i="12" s="1"/>
  <c r="AB1" i="12"/>
  <c r="AE3" i="12" s="1"/>
  <c r="AE4" i="12" s="1"/>
  <c r="O25" i="12"/>
  <c r="O37" i="12" s="1"/>
  <c r="O24" i="12"/>
  <c r="AB35" i="12"/>
  <c r="AB36" i="12" s="1"/>
  <c r="AC37" i="12" s="1"/>
  <c r="M26" i="10"/>
  <c r="O26" i="10" s="1"/>
  <c r="O27" i="10" s="1"/>
  <c r="R27" i="10"/>
  <c r="U28" i="12"/>
  <c r="L10" i="12"/>
  <c r="L35" i="12" s="1"/>
  <c r="P9" i="12"/>
  <c r="G44" i="12"/>
  <c r="G52" i="12" s="1"/>
  <c r="H52" i="12"/>
  <c r="H53" i="12" s="1"/>
  <c r="J40" i="10"/>
  <c r="G41" i="10"/>
  <c r="O29" i="12" l="1"/>
  <c r="H44" i="10"/>
  <c r="H43" i="10"/>
  <c r="P29" i="12" l="1"/>
  <c r="J34" i="10"/>
  <c r="D28" i="10"/>
  <c r="I28" i="10"/>
  <c r="J28" i="10"/>
  <c r="C28" i="10"/>
  <c r="D21" i="10"/>
  <c r="I21" i="10"/>
  <c r="J21" i="10"/>
  <c r="C21" i="10"/>
  <c r="D10" i="10"/>
  <c r="I10" i="10"/>
  <c r="J10" i="10"/>
  <c r="C10" i="10"/>
  <c r="O9" i="10"/>
  <c r="N9" i="10"/>
  <c r="K25" i="10"/>
  <c r="K26" i="10"/>
  <c r="K27" i="10"/>
  <c r="K29" i="10"/>
  <c r="K30" i="10"/>
  <c r="K12" i="10"/>
  <c r="K13" i="10"/>
  <c r="K14" i="10"/>
  <c r="K15" i="10"/>
  <c r="K16" i="10"/>
  <c r="K17" i="10"/>
  <c r="K18" i="10"/>
  <c r="K19" i="10"/>
  <c r="K20" i="10"/>
  <c r="K22" i="10"/>
  <c r="K23" i="10"/>
  <c r="K11" i="10"/>
  <c r="K6" i="10"/>
  <c r="K7" i="10"/>
  <c r="K8" i="10"/>
  <c r="K9" i="10"/>
  <c r="K5" i="10"/>
  <c r="D5" i="11"/>
  <c r="C32" i="10" l="1"/>
  <c r="D32" i="10"/>
  <c r="K21" i="10"/>
  <c r="K34" i="10"/>
  <c r="K10" i="10"/>
  <c r="M9" i="10"/>
  <c r="K24" i="10"/>
  <c r="K28" i="10" s="1"/>
  <c r="D26" i="11"/>
  <c r="D13" i="11" l="1"/>
  <c r="D17" i="11"/>
  <c r="D15" i="11"/>
  <c r="D16" i="11"/>
  <c r="D23" i="11"/>
  <c r="D21" i="11"/>
  <c r="D20" i="11"/>
  <c r="D19" i="11"/>
  <c r="D18" i="11"/>
  <c r="D11" i="11"/>
  <c r="S5" i="11" l="1"/>
  <c r="D31" i="11"/>
  <c r="S7" i="11"/>
  <c r="S6" i="11"/>
  <c r="G44" i="10"/>
  <c r="R25" i="11"/>
  <c r="R26" i="11"/>
  <c r="R27" i="11"/>
  <c r="R28" i="11"/>
  <c r="R29" i="11"/>
  <c r="R24" i="11"/>
  <c r="S8" i="11" l="1"/>
  <c r="N47" i="11"/>
  <c r="N46" i="11"/>
  <c r="N45" i="11"/>
  <c r="O44" i="11"/>
  <c r="N44" i="11" s="1"/>
  <c r="P43" i="11"/>
  <c r="O43" i="11"/>
  <c r="P42" i="11"/>
  <c r="O42" i="11"/>
  <c r="P41" i="11"/>
  <c r="O41" i="11"/>
  <c r="N41" i="11" s="1"/>
  <c r="P40" i="11"/>
  <c r="O40" i="11"/>
  <c r="N39" i="11"/>
  <c r="N38" i="11"/>
  <c r="N37" i="11"/>
  <c r="N36" i="11"/>
  <c r="Q33" i="11"/>
  <c r="Q30" i="11"/>
  <c r="Q32" i="11" s="1"/>
  <c r="N40" i="11" l="1"/>
  <c r="N43" i="11"/>
  <c r="N42" i="11"/>
  <c r="P48" i="11"/>
  <c r="O48" i="11"/>
  <c r="Q34" i="11"/>
  <c r="N48" i="11"/>
  <c r="Q31" i="11"/>
  <c r="O49" i="11" l="1"/>
  <c r="O50" i="11" s="1"/>
  <c r="Q48" i="11"/>
  <c r="G45" i="10"/>
  <c r="G43" i="10"/>
  <c r="H41" i="10"/>
  <c r="H42" i="10"/>
  <c r="G42" i="10"/>
  <c r="F46" i="10"/>
  <c r="F47" i="10"/>
  <c r="F48" i="10"/>
  <c r="F37" i="10"/>
  <c r="F38" i="10"/>
  <c r="F39" i="10"/>
  <c r="F40" i="10"/>
  <c r="G49" i="10" l="1"/>
  <c r="F43" i="10"/>
  <c r="F42" i="10"/>
  <c r="F41" i="10" l="1"/>
  <c r="F44" i="10"/>
  <c r="J31" i="10"/>
  <c r="J33" i="10" l="1"/>
  <c r="J32" i="10"/>
  <c r="K31" i="10"/>
  <c r="O30" i="10"/>
  <c r="K32" i="10" l="1"/>
  <c r="K33" i="10"/>
  <c r="K35" i="10" s="1"/>
  <c r="J35" i="10"/>
  <c r="H49" i="10"/>
  <c r="G50" i="10" l="1"/>
  <c r="G51" i="10" s="1"/>
  <c r="F45" i="10"/>
  <c r="F49" i="10" s="1"/>
  <c r="N10" i="12"/>
  <c r="O8" i="12"/>
  <c r="O10" i="12" s="1"/>
  <c r="P10" i="12" l="1"/>
  <c r="O30" i="12" l="1"/>
  <c r="N35" i="12"/>
  <c r="N36" i="12"/>
  <c r="N38" i="12" s="1"/>
  <c r="M38" i="12" s="1"/>
  <c r="O32" i="12"/>
  <c r="O36" i="12" s="1"/>
  <c r="O38" i="12" s="1"/>
  <c r="M35" i="12" l="1"/>
  <c r="N74" i="12"/>
  <c r="O35" i="12"/>
  <c r="R41" i="12" s="1"/>
  <c r="R42" i="12" s="1"/>
  <c r="M36" i="12"/>
  <c r="P35" i="12" l="1"/>
</calcChain>
</file>

<file path=xl/sharedStrings.xml><?xml version="1.0" encoding="utf-8"?>
<sst xmlns="http://schemas.openxmlformats.org/spreadsheetml/2006/main" count="673" uniqueCount="265">
  <si>
    <t>Срок реализации</t>
  </si>
  <si>
    <t>№ п/п</t>
  </si>
  <si>
    <t>Наименование объекта</t>
  </si>
  <si>
    <t>Контракт (дата, №)</t>
  </si>
  <si>
    <t>Генеральный подрядчик</t>
  </si>
  <si>
    <t>Протяженность, км</t>
  </si>
  <si>
    <r>
      <t>Площадь асфальтобетонного покрытия, тыс. м</t>
    </r>
    <r>
      <rPr>
        <b/>
        <vertAlign val="superscript"/>
        <sz val="10"/>
        <rFont val="Times New Roman"/>
        <family val="1"/>
        <charset val="204"/>
      </rPr>
      <t>2</t>
    </r>
  </si>
  <si>
    <t>ООО "ВСК"</t>
  </si>
  <si>
    <t>ООО "СК "ТРАССА"</t>
  </si>
  <si>
    <t>Бюджет</t>
  </si>
  <si>
    <t>ОБ</t>
  </si>
  <si>
    <t>ФБ</t>
  </si>
  <si>
    <t>Стоимость работ по объекту
 тыс. руб.</t>
  </si>
  <si>
    <t>ГУП "ДСУ-3"</t>
  </si>
  <si>
    <t>май</t>
  </si>
  <si>
    <t>июнь</t>
  </si>
  <si>
    <t>июль</t>
  </si>
  <si>
    <t>сентябрь</t>
  </si>
  <si>
    <t>ИТОГО</t>
  </si>
  <si>
    <t>август</t>
  </si>
  <si>
    <t>ИТОГО, в т.ч.</t>
  </si>
  <si>
    <t>Ремонт а/д Струнино - Площево на участке км 2+382 - км 16+916 в Александровском районе</t>
  </si>
  <si>
    <t>Ремонт а/д "Гусь-Хрустальный – Уршельский" –Тихоново – Избищи – разъезд Тасино  на участке  км 0+000 - км 3+340 в Гусь-Хрустальном районе</t>
  </si>
  <si>
    <t>Ремонт а/д Обход г.Киржач на участке км 0+003 - км 2+786 в Киржачском районе</t>
  </si>
  <si>
    <t>Ремонт а/д Венедеевка-Толстиково-Большая Сала-Урюсево на участке км 0+000 - км 2+360 в Меленковском районе</t>
  </si>
  <si>
    <t>Ремонт а/д Ожигово-Красный Бор-Боровицы на участках  км 2+280 - км 3+770,  км 4+640 - км 9+843 в Муромском районе</t>
  </si>
  <si>
    <t>Ремонт а/д Собинка – Вышманово – Буланово – Коняево на участках км 4+700 - км 9+150, км 11+150 - км 13+000 в Собинском районе</t>
  </si>
  <si>
    <t>Ремонт а/д "Волга"-ст.Колокша-Устье на участках км 0+000 - км 1+960, км 2+007 - 4+100 в Собинском районе</t>
  </si>
  <si>
    <t>Ремонт а/д  Судогда – Чамерево на участке км 7+700 - км 12+715 в Судогодском районе</t>
  </si>
  <si>
    <t>Ремонт а/д "Владимир-Муром"-Байгуши на участке км 0+205 - км 0+945 в Судогодском районе</t>
  </si>
  <si>
    <t>Ремонт а/д Суздаль – Гавриловское – Цибеево – Обращиха на участке км 0+003 - км 3+745 в Суздальском районе</t>
  </si>
  <si>
    <t>Ремонт а/д "Владимир-Иваново"-Спасское-Городище на участке км 0+031 - км 3+687 в Суздальском районе</t>
  </si>
  <si>
    <t>Ремонт а/д Новое-Ославское на участке км 0+372 - км 2+850 в Суздальском районе</t>
  </si>
  <si>
    <t>Ремонт а/д Боголюбово - Суромна на участке км 0+020 - км 1+732 в Суздальском районе</t>
  </si>
  <si>
    <t xml:space="preserve">Ремонт и содержание а/д "Волга"-Колокша на участке км 0+000 - км 1+280 в Собинском районе </t>
  </si>
  <si>
    <t xml:space="preserve">Ремонт и содержание а/д "Волга"-Содышка"-Боголюбка на участке км 0+000 - км 1+920 в Суздальском районе </t>
  </si>
  <si>
    <t>Содержание по договорам на принципах контракта жизненного цикла</t>
  </si>
  <si>
    <t>-</t>
  </si>
  <si>
    <t>22.12.2020, № 269</t>
  </si>
  <si>
    <t>22.12.2020, № 268</t>
  </si>
  <si>
    <t>08.12.2020, № 263</t>
  </si>
  <si>
    <t>24.11.2020, № 256</t>
  </si>
  <si>
    <t>май/июнь</t>
  </si>
  <si>
    <t>Ремонт а/д Вязники – Сергиевы-Горки – Татарово на участках км 9+070 - км 11+255, км 23+122 - км 25+987 в Вязниковском районе Владимирской области</t>
  </si>
  <si>
    <t>Ремонт а/д Ковров – Красная Грива – Сельцо – Мстера – ст.Мстера – "Волга" на участках км 4+318 - км 7+868,   км 10+280 - км 11+660 в Ковровском районе Владимирской области</t>
  </si>
  <si>
    <t>Ремонт а/д ст.Сеньково – Никологоры – Степанцево – Симонцево на участках км 32+985 - км 35+585,  км 42+921 - км 45+255 в Вязниковском районе Владимирской области</t>
  </si>
  <si>
    <t>ООО "ВСК"/Трасса суб</t>
  </si>
  <si>
    <t xml:space="preserve">ОБ </t>
  </si>
  <si>
    <t xml:space="preserve">ФБ 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</si>
  <si>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</si>
  <si>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</si>
  <si>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</si>
  <si>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</si>
  <si>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</si>
  <si>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</si>
  <si>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</si>
  <si>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Ремонт аавтомобильных дорог Вязники – Сергиевы-Горки – Татарово на участках км 9+070 - км 11+255, км 23+122 - км 25+987, ст.Сеньково – Никологоры – Степанцево – Симонцево на участках км 32+985 - км 35+585,  км 42+921 - км 45+255 в Вязниковском районе, Ковров – Красная Грива – Сельцо – Мстера – ст.Мстера – "Волга" на участках км 4+318 - км 7+868,   км 10+280 - км 11+660 в Ковровском районе Владимирской области</t>
  </si>
  <si>
    <t xml:space="preserve">Информация о ходе выполнения работ БКАД 2021 </t>
  </si>
  <si>
    <t>начало участка</t>
  </si>
  <si>
    <t>конец участка</t>
  </si>
  <si>
    <t>км 2+382 - км 16+916</t>
  </si>
  <si>
    <t>Струнино - Площево</t>
  </si>
  <si>
    <t>км 0+000 - км 3+340</t>
  </si>
  <si>
    <t>"Гусь-Хрустальный – Уршельский" –Тихоново – Избищи – разъезд Тасино</t>
  </si>
  <si>
    <t>км 0+003 - км 2+786</t>
  </si>
  <si>
    <t>Обход г.Киржач</t>
  </si>
  <si>
    <t>Александровском</t>
  </si>
  <si>
    <t>Гусь-Хрустальном</t>
  </si>
  <si>
    <t>Киржачском</t>
  </si>
  <si>
    <t>Венедеевка-Толстиково-Большая Сала-Урюсево</t>
  </si>
  <si>
    <t xml:space="preserve"> км 0+000 - км 2+360</t>
  </si>
  <si>
    <t>Меленковском</t>
  </si>
  <si>
    <t>Ожигово-Красный Бор-Боровицы</t>
  </si>
  <si>
    <t>Муромском</t>
  </si>
  <si>
    <t>км 2+280 - км 3+770</t>
  </si>
  <si>
    <t>км 4+640 - км 9+843</t>
  </si>
  <si>
    <t>км 4+700 - км 9+150</t>
  </si>
  <si>
    <t xml:space="preserve">км 11+150 - км 13+000 </t>
  </si>
  <si>
    <t>Собинском</t>
  </si>
  <si>
    <t>Собинка – Вышманово – Буланово – Коняево</t>
  </si>
  <si>
    <t xml:space="preserve"> км 0+000 - км 1+960</t>
  </si>
  <si>
    <t>км 2+007 - 4+100</t>
  </si>
  <si>
    <t>км 0+000 - км 1+930</t>
  </si>
  <si>
    <t>Судогодско</t>
  </si>
  <si>
    <t>подъезд к г. Судогде №1</t>
  </si>
  <si>
    <t>км 7+700 - км 12+715</t>
  </si>
  <si>
    <t xml:space="preserve">Судогодском </t>
  </si>
  <si>
    <t>Судогда – Чамерево</t>
  </si>
  <si>
    <t xml:space="preserve"> км 0+205 - км 0+945</t>
  </si>
  <si>
    <t>"Владимир-Муром"-Байгуши</t>
  </si>
  <si>
    <t>км 0+003 - км 3+745</t>
  </si>
  <si>
    <t>Суздальском</t>
  </si>
  <si>
    <t>Суздаль – Гавриловское – Цибеево – Обращиха</t>
  </si>
  <si>
    <t xml:space="preserve"> км 0+031 - км 3+687</t>
  </si>
  <si>
    <t>"Владимир-Иваново"-Спасское-Городище</t>
  </si>
  <si>
    <t>км 0+372 - км 2+850</t>
  </si>
  <si>
    <t>Новое-Ославское</t>
  </si>
  <si>
    <t>км 0+020 - км 1+732</t>
  </si>
  <si>
    <t>Боголюбово - Суромна</t>
  </si>
  <si>
    <t xml:space="preserve"> км 0+000 - км 1+280</t>
  </si>
  <si>
    <t>км 0+000 - км 1+920</t>
  </si>
  <si>
    <t>56.01086  040.13221</t>
  </si>
  <si>
    <t>56.00049  040.19429</t>
  </si>
  <si>
    <t>55.98905  040.21893</t>
  </si>
  <si>
    <t>56.07346  040.17238</t>
  </si>
  <si>
    <t>56.05933  040.17807</t>
  </si>
  <si>
    <t>56.05906  040.17831</t>
  </si>
  <si>
    <t>56.04892  040.19489</t>
  </si>
  <si>
    <t>55.971722  40.822426</t>
  </si>
  <si>
    <t>55.956988  40.839273</t>
  </si>
  <si>
    <t>56.036951  40.836749</t>
  </si>
  <si>
    <t>56.071644  40.789870</t>
  </si>
  <si>
    <t>56.074119  40.490832</t>
  </si>
  <si>
    <t>56.080595   40.492987</t>
  </si>
  <si>
    <t>56.427856  040.417397</t>
  </si>
  <si>
    <t>56.413356  040.366209</t>
  </si>
  <si>
    <t>56.349625  040.474128</t>
  </si>
  <si>
    <t>56.361906  040.527414</t>
  </si>
  <si>
    <t>56.215951  040.521163</t>
  </si>
  <si>
    <t>56.232494  040.539465</t>
  </si>
  <si>
    <t>56.187498  040.518508</t>
  </si>
  <si>
    <t>56.191490  040.492968</t>
  </si>
  <si>
    <t>56.35765   38.54779</t>
  </si>
  <si>
    <t xml:space="preserve"> 56.254952   38.447695</t>
  </si>
  <si>
    <t>55.60719    040.25033</t>
  </si>
  <si>
    <t>55.57745     040.25590</t>
  </si>
  <si>
    <t>56.13375   38.88560</t>
  </si>
  <si>
    <t>56.14518   38.92189</t>
  </si>
  <si>
    <t>55.33119  041.77368</t>
  </si>
  <si>
    <t>55.31369  041.78106</t>
  </si>
  <si>
    <t>55. 82985  042.11098</t>
  </si>
  <si>
    <t>55.82602  042.13345</t>
  </si>
  <si>
    <t>55.82054  042.14246</t>
  </si>
  <si>
    <t>55.79827  042.18092</t>
  </si>
  <si>
    <t>56.06896  040.15287</t>
  </si>
  <si>
    <t>56.07838 040.14571</t>
  </si>
  <si>
    <t>56.179239  040.387224</t>
  </si>
  <si>
    <t>56.179163  040.387006</t>
  </si>
  <si>
    <t xml:space="preserve"> км 9+070 - км 11+255</t>
  </si>
  <si>
    <t>км 23+122 - км 25+987</t>
  </si>
  <si>
    <t>Вязниковском</t>
  </si>
  <si>
    <t>Вязники – Сергиевы-Горки – Татарово</t>
  </si>
  <si>
    <t>км 4+318 - км 7+868</t>
  </si>
  <si>
    <t>км 10+280 - км 11+660</t>
  </si>
  <si>
    <t xml:space="preserve"> Ковровском</t>
  </si>
  <si>
    <t>км 32+985 - км 35+585</t>
  </si>
  <si>
    <t>км 42+921 - км 45+255</t>
  </si>
  <si>
    <t>56.14669    42.15438</t>
  </si>
  <si>
    <t>56.12800   42.16482</t>
  </si>
  <si>
    <t>56.03436   42.10847</t>
  </si>
  <si>
    <t>56.00937   42.10455</t>
  </si>
  <si>
    <t>56.13460  41,71390</t>
  </si>
  <si>
    <t>56.15434   41.73472</t>
  </si>
  <si>
    <t>56.21202   41.78361</t>
  </si>
  <si>
    <t>56.23185   41.79463</t>
  </si>
  <si>
    <t>56.399618  041.344650</t>
  </si>
  <si>
    <t>56.403185  041.403488</t>
  </si>
  <si>
    <t>56.413688   041.424688</t>
  </si>
  <si>
    <t>56.419633   041.451021</t>
  </si>
  <si>
    <t xml:space="preserve"> 55.98304  040.24517</t>
  </si>
  <si>
    <t>"Волга"-ст.Колокша-Устье</t>
  </si>
  <si>
    <t>КЖЦ  "Волга"-Колокша</t>
  </si>
  <si>
    <t>КЖЦ "Волга"-Содышка"-Боголюбка</t>
  </si>
  <si>
    <t>Ковров – Красная Грива – Сельцо – Мстера – ст.Мстера – "Волга"</t>
  </si>
  <si>
    <t>ст.Сеньково – Никологоры – Степанцево – Симонцево</t>
  </si>
  <si>
    <t>КООРДИНАТЫ</t>
  </si>
  <si>
    <t>L, км</t>
  </si>
  <si>
    <t>S, м2</t>
  </si>
  <si>
    <t>фрезерование</t>
  </si>
  <si>
    <t>Александровский</t>
  </si>
  <si>
    <t>Гусь-Хрустальный</t>
  </si>
  <si>
    <t>Киржачский</t>
  </si>
  <si>
    <t>Меленковский</t>
  </si>
  <si>
    <t>Муромский</t>
  </si>
  <si>
    <t>Собинский</t>
  </si>
  <si>
    <t>Судогодский</t>
  </si>
  <si>
    <t>Суздальский</t>
  </si>
  <si>
    <t>Вязниковский</t>
  </si>
  <si>
    <t>Ковросвкий</t>
  </si>
  <si>
    <t>не надо</t>
  </si>
  <si>
    <t>нет</t>
  </si>
  <si>
    <t>нет, трасса хочет</t>
  </si>
  <si>
    <t>НМЦК</t>
  </si>
  <si>
    <t>Экономия</t>
  </si>
  <si>
    <t>ИТОГО ПО КОНТРАКТУ:</t>
  </si>
  <si>
    <t>проверка</t>
  </si>
  <si>
    <t>ИТОГО:</t>
  </si>
  <si>
    <t>Ремонт а/д "Волга"-Станки-Мстера на участке км 0+000 - км 2+294 в Вязниковском районе Владимирской области</t>
  </si>
  <si>
    <t>Ремонт а/д Подъезд к г. Судогде №1 на участке км 0+000 - км 1+930 в Судогодском районе</t>
  </si>
  <si>
    <t>сдали до 07.06</t>
  </si>
  <si>
    <t>об</t>
  </si>
  <si>
    <t>фб</t>
  </si>
  <si>
    <t>закрыли об</t>
  </si>
  <si>
    <t>№14 от 16.04.2021</t>
  </si>
  <si>
    <t>ост об</t>
  </si>
  <si>
    <t>можно фб</t>
  </si>
  <si>
    <t>можно фб по этому участу</t>
  </si>
  <si>
    <t>об поставить</t>
  </si>
  <si>
    <t>фб сделать</t>
  </si>
  <si>
    <t>Сдали</t>
  </si>
  <si>
    <t>об ост</t>
  </si>
  <si>
    <t>Освоим ФБ в июне</t>
  </si>
  <si>
    <t>Освоили в мае ФБ</t>
  </si>
  <si>
    <t>Освоение ФБ по БКД в июне 2021 года</t>
  </si>
  <si>
    <t>Сумма</t>
  </si>
  <si>
    <t>Дата сдачи</t>
  </si>
  <si>
    <t>Ремонт автомобильной дороги Колокша-Кольчугино-Александров-Верхние Дворики на участке км 98+900 - км 99+930 в Александровском районе Владимирской области</t>
  </si>
  <si>
    <t>Ремонт а/д "Волга"-ст.Колокша-Устье на участках км 0+000 - км 1+960, км 2+007 - 4+100 в Собинском районе (Трасса)</t>
  </si>
  <si>
    <t>Ремонт а/д  Судогда – Чамерево на участке км 7+700 - км 12+715 в Судогодском районе (ВСК)</t>
  </si>
  <si>
    <t>Ремонт а/д "Владимир-Иваново"-Спасское-Городище на участке км 0+031 - км 3+687 в Суздальском районе - промежуточная, выравнивающий слой (ВСК)</t>
  </si>
  <si>
    <t>Ремонт а/д Боголюбово - Суромна на участке км 0+020 - км 1+732 в Суздальском районе (ВСК)</t>
  </si>
  <si>
    <t>Ремонт а/д Вязники – Сергиевы-Горки – Татарово на участках км 9+070 - км 11+255, км 23+122 - км 25+987 в Вязниковском районе Владимирской области (ДСУ №3)</t>
  </si>
  <si>
    <t>Ремонт а/д Ковров – Красная Грива – Сельцо – Мстера – ст.Мстера – "Волга" на участках км 4+318 - км 7+868,   км 10+280 - км 11+660 в Ковровском районе Владимирской области - промежуточная (ДСУ №3)</t>
  </si>
  <si>
    <t>Строительство автомобильной дороги "Рпенский проезд" в г.Владимире (ДСУ №3)</t>
  </si>
  <si>
    <t>Судогодское шосссе (ДСУ №3)</t>
  </si>
  <si>
    <t>в том числе ГБУ</t>
  </si>
  <si>
    <t>дата</t>
  </si>
  <si>
    <t>сумма, тыс.руб.</t>
  </si>
  <si>
    <t>Всего, в том числе</t>
  </si>
  <si>
    <t>Доведено</t>
  </si>
  <si>
    <t>Касса</t>
  </si>
  <si>
    <t>Остаток</t>
  </si>
  <si>
    <t>Процент выполнения</t>
  </si>
  <si>
    <t>* Приняты, но не оплачены работы на сумму 25 546,27350 рублей (средства областного бюджета)</t>
  </si>
  <si>
    <t>Информация по освоению денежных средств по НП "БКД" по состоянию на 22.01.2021 год</t>
  </si>
  <si>
    <t>тыс.руб.</t>
  </si>
  <si>
    <t>Полностью принято 15 участков а/д из 21 запланированных</t>
  </si>
  <si>
    <t>категория</t>
  </si>
  <si>
    <t>км</t>
  </si>
  <si>
    <t>III</t>
  </si>
  <si>
    <t>IV</t>
  </si>
  <si>
    <t>V</t>
  </si>
  <si>
    <t>по факту выполнили 14.534 км, 100,446 тыс.м2</t>
  </si>
  <si>
    <t>август 2021,
тыс.руб.</t>
  </si>
  <si>
    <t>сдали</t>
  </si>
  <si>
    <t>осталось</t>
  </si>
  <si>
    <t>№14                              от 16.04.2021</t>
  </si>
  <si>
    <t>№31                              от 18.06.2021</t>
  </si>
  <si>
    <t>№84                                    от 06.08.2021</t>
  </si>
  <si>
    <t xml:space="preserve">№ 269                        от 22.12.2020                   </t>
  </si>
  <si>
    <t xml:space="preserve">№ 268                  от 22.12.2020                  </t>
  </si>
  <si>
    <t xml:space="preserve">№ 263                    от 08.12.2020                  </t>
  </si>
  <si>
    <t xml:space="preserve">№ 256                        от 24.11.2020                 </t>
  </si>
  <si>
    <t>Сдали август</t>
  </si>
  <si>
    <t>Сдали на 24.08.2021 г.+АВГУСТ</t>
  </si>
  <si>
    <t>Александровский район</t>
  </si>
  <si>
    <t>Вязниковский район</t>
  </si>
  <si>
    <t>Гороховецкий район</t>
  </si>
  <si>
    <t>Гусь-Хрустальный район</t>
  </si>
  <si>
    <t>Камешковский район</t>
  </si>
  <si>
    <t>Киржачский район</t>
  </si>
  <si>
    <t>Ковровский район</t>
  </si>
  <si>
    <t>Кольчугинский район</t>
  </si>
  <si>
    <t>Меленковский район</t>
  </si>
  <si>
    <t>Муромский район</t>
  </si>
  <si>
    <t>Петушинский район</t>
  </si>
  <si>
    <t>Селивановский район</t>
  </si>
  <si>
    <t>Собинский район</t>
  </si>
  <si>
    <t>Судогодский район</t>
  </si>
  <si>
    <t>Суздальский район</t>
  </si>
  <si>
    <t>Юрьев-Польский район</t>
  </si>
  <si>
    <t>Итого СМР по районам (план и выполнение):</t>
  </si>
  <si>
    <t>Район</t>
  </si>
  <si>
    <t>Ковровский</t>
  </si>
  <si>
    <t>КЖЦ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</si>
</sst>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#,##0.00000"/>
    <numFmt numFmtId="167" formatCode="0.00000"/>
    <numFmt numFmtId="168" formatCode="0.0%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vertAlign val="superscript"/>
      <sz val="10"/>
      <name val="Times New Roman"/>
      <family val="1"/>
      <charset val="204"/>
    </font>
    <font>
      <b/>
      <i/>
      <sz val="12"/>
      <color rgb="FF58267E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i/>
      <sz val="10"/>
      <name val="Times New Roman"/>
      <family val="1"/>
      <charset val="204"/>
    </font>
    <font>
      <b/>
      <sz val="12"/>
      <color rgb="FF7030A0"/>
      <name val="Arial Cyr"/>
      <charset val="204"/>
    </font>
    <font>
      <b/>
      <sz val="10"/>
      <color rgb="FF0000FF"/>
      <name val="Arial Cyr"/>
      <charset val="204"/>
    </font>
    <font>
      <b/>
      <sz val="11"/>
      <color rgb="FFCC3300"/>
      <name val="Times New Roman"/>
      <family val="1"/>
      <charset val="204"/>
    </font>
    <font>
      <b/>
      <sz val="11"/>
      <color rgb="FF0000FF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3333CC"/>
      <name val="Times New Roman"/>
      <family val="1"/>
      <charset val="204"/>
    </font>
    <font>
      <sz val="12"/>
      <name val="Arial Cyr"/>
      <charset val="204"/>
    </font>
    <font>
      <b/>
      <sz val="14"/>
      <color rgb="FF0000FF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</cellStyleXfs>
  <cellXfs count="518">
    <xf numFmtId="0" fontId="0" fillId="0" borderId="0" xfId="0"/>
    <xf numFmtId="0" fontId="0" fillId="0" borderId="0" xfId="0" applyFill="1"/>
    <xf numFmtId="0" fontId="0" fillId="0" borderId="10" xfId="0" applyBorder="1"/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5" fontId="22" fillId="25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14" fontId="22" fillId="26" borderId="13" xfId="0" applyNumberFormat="1" applyFont="1" applyFill="1" applyBorder="1" applyAlignment="1">
      <alignment horizontal="center" vertical="center"/>
    </xf>
    <xf numFmtId="14" fontId="22" fillId="27" borderId="13" xfId="0" applyNumberFormat="1" applyFont="1" applyFill="1" applyBorder="1" applyAlignment="1">
      <alignment horizontal="center" vertical="center"/>
    </xf>
    <xf numFmtId="166" fontId="29" fillId="25" borderId="13" xfId="0" applyNumberFormat="1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 wrapText="1"/>
    </xf>
    <xf numFmtId="2" fontId="27" fillId="25" borderId="17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14" fontId="22" fillId="0" borderId="15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3" xfId="0" applyBorder="1"/>
    <xf numFmtId="0" fontId="0" fillId="0" borderId="16" xfId="0" applyBorder="1"/>
    <xf numFmtId="0" fontId="22" fillId="0" borderId="10" xfId="0" applyFont="1" applyBorder="1" applyAlignment="1">
      <alignment vertical="center"/>
    </xf>
    <xf numFmtId="164" fontId="0" fillId="0" borderId="17" xfId="0" applyNumberFormat="1" applyFill="1" applyBorder="1"/>
    <xf numFmtId="164" fontId="0" fillId="0" borderId="13" xfId="0" applyNumberFormat="1" applyBorder="1"/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4" fontId="22" fillId="0" borderId="12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4" fontId="22" fillId="26" borderId="16" xfId="0" applyNumberFormat="1" applyFont="1" applyFill="1" applyBorder="1" applyAlignment="1">
      <alignment horizontal="center" vertical="center"/>
    </xf>
    <xf numFmtId="14" fontId="22" fillId="25" borderId="27" xfId="0" applyNumberFormat="1" applyFont="1" applyFill="1" applyBorder="1" applyAlignment="1">
      <alignment horizontal="center" vertical="center"/>
    </xf>
    <xf numFmtId="14" fontId="22" fillId="26" borderId="23" xfId="0" applyNumberFormat="1" applyFont="1" applyFill="1" applyBorder="1" applyAlignment="1">
      <alignment horizontal="center" vertical="center"/>
    </xf>
    <xf numFmtId="166" fontId="22" fillId="25" borderId="19" xfId="0" applyNumberFormat="1" applyFont="1" applyFill="1" applyBorder="1" applyAlignment="1">
      <alignment horizontal="center" vertical="center" wrapText="1"/>
    </xf>
    <xf numFmtId="166" fontId="22" fillId="25" borderId="21" xfId="0" applyNumberFormat="1" applyFont="1" applyFill="1" applyBorder="1" applyAlignment="1">
      <alignment horizontal="center" vertical="center" wrapText="1"/>
    </xf>
    <xf numFmtId="49" fontId="22" fillId="25" borderId="29" xfId="0" applyNumberFormat="1" applyFont="1" applyFill="1" applyBorder="1" applyAlignment="1">
      <alignment horizontal="center" vertical="center"/>
    </xf>
    <xf numFmtId="14" fontId="22" fillId="26" borderId="24" xfId="0" applyNumberFormat="1" applyFont="1" applyFill="1" applyBorder="1" applyAlignment="1">
      <alignment horizontal="center" vertical="center"/>
    </xf>
    <xf numFmtId="166" fontId="22" fillId="25" borderId="31" xfId="0" applyNumberFormat="1" applyFont="1" applyFill="1" applyBorder="1" applyAlignment="1">
      <alignment horizontal="center" vertical="center" wrapText="1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27" xfId="0" applyNumberFormat="1" applyFont="1" applyFill="1" applyBorder="1" applyAlignment="1">
      <alignment horizontal="center" vertical="center"/>
    </xf>
    <xf numFmtId="166" fontId="22" fillId="25" borderId="33" xfId="0" applyNumberFormat="1" applyFont="1" applyFill="1" applyBorder="1" applyAlignment="1">
      <alignment horizontal="center" vertical="center" wrapText="1"/>
    </xf>
    <xf numFmtId="14" fontId="22" fillId="27" borderId="24" xfId="0" applyNumberFormat="1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 wrapText="1"/>
    </xf>
    <xf numFmtId="14" fontId="22" fillId="25" borderId="36" xfId="0" applyNumberFormat="1" applyFont="1" applyFill="1" applyBorder="1" applyAlignment="1">
      <alignment horizontal="center" vertical="center" wrapText="1"/>
    </xf>
    <xf numFmtId="14" fontId="22" fillId="25" borderId="36" xfId="0" applyNumberFormat="1" applyFont="1" applyFill="1" applyBorder="1" applyAlignment="1">
      <alignment horizontal="center" vertical="center"/>
    </xf>
    <xf numFmtId="14" fontId="22" fillId="26" borderId="25" xfId="0" applyNumberFormat="1" applyFont="1" applyFill="1" applyBorder="1" applyAlignment="1">
      <alignment horizontal="center" vertical="center"/>
    </xf>
    <xf numFmtId="166" fontId="22" fillId="25" borderId="37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14" fontId="22" fillId="0" borderId="12" xfId="0" applyNumberFormat="1" applyFont="1" applyBorder="1" applyAlignment="1">
      <alignment horizontal="center" vertical="center"/>
    </xf>
    <xf numFmtId="14" fontId="21" fillId="0" borderId="16" xfId="0" applyNumberFormat="1" applyFont="1" applyBorder="1" applyAlignment="1">
      <alignment horizontal="center" vertical="center"/>
    </xf>
    <xf numFmtId="166" fontId="29" fillId="25" borderId="16" xfId="0" applyNumberFormat="1" applyFont="1" applyFill="1" applyBorder="1" applyAlignment="1">
      <alignment horizontal="center" vertical="center" wrapText="1"/>
    </xf>
    <xf numFmtId="165" fontId="26" fillId="25" borderId="36" xfId="0" applyNumberFormat="1" applyFont="1" applyFill="1" applyBorder="1" applyAlignment="1">
      <alignment horizontal="center" vertical="center" wrapText="1"/>
    </xf>
    <xf numFmtId="49" fontId="22" fillId="25" borderId="36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Alignment="1">
      <alignment horizontal="center" vertical="center"/>
    </xf>
    <xf numFmtId="166" fontId="0" fillId="0" borderId="0" xfId="0" applyNumberFormat="1" applyFill="1" applyAlignment="1">
      <alignment wrapText="1"/>
    </xf>
    <xf numFmtId="166" fontId="0" fillId="0" borderId="0" xfId="0" applyNumberFormat="1" applyFill="1"/>
    <xf numFmtId="165" fontId="22" fillId="25" borderId="13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Border="1"/>
    <xf numFmtId="166" fontId="0" fillId="26" borderId="10" xfId="0" applyNumberFormat="1" applyFill="1" applyBorder="1" applyAlignment="1">
      <alignment horizontal="center"/>
    </xf>
    <xf numFmtId="164" fontId="0" fillId="26" borderId="10" xfId="0" applyNumberFormat="1" applyFill="1" applyBorder="1" applyAlignment="1">
      <alignment horizontal="center"/>
    </xf>
    <xf numFmtId="0" fontId="28" fillId="0" borderId="10" xfId="0" applyFont="1" applyBorder="1" applyAlignment="1">
      <alignment horizontal="right"/>
    </xf>
    <xf numFmtId="166" fontId="28" fillId="26" borderId="10" xfId="0" applyNumberFormat="1" applyFont="1" applyFill="1" applyBorder="1" applyAlignment="1">
      <alignment horizontal="center"/>
    </xf>
    <xf numFmtId="164" fontId="0" fillId="27" borderId="10" xfId="0" applyNumberForma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0" fillId="26" borderId="12" xfId="0" applyNumberFormat="1" applyFill="1" applyBorder="1" applyAlignment="1">
      <alignment horizontal="center"/>
    </xf>
    <xf numFmtId="164" fontId="0" fillId="27" borderId="12" xfId="0" applyNumberFormat="1" applyFill="1" applyBorder="1" applyAlignment="1">
      <alignment horizontal="center"/>
    </xf>
    <xf numFmtId="165" fontId="26" fillId="25" borderId="10" xfId="0" applyNumberFormat="1" applyFont="1" applyFill="1" applyBorder="1" applyAlignment="1">
      <alignment horizontal="center" vertical="center" wrapText="1"/>
    </xf>
    <xf numFmtId="166" fontId="0" fillId="0" borderId="17" xfId="0" applyNumberFormat="1" applyFill="1" applyBorder="1"/>
    <xf numFmtId="14" fontId="21" fillId="27" borderId="37" xfId="0" applyNumberFormat="1" applyFont="1" applyFill="1" applyBorder="1" applyAlignment="1">
      <alignment horizontal="center" vertical="center" wrapText="1"/>
    </xf>
    <xf numFmtId="164" fontId="28" fillId="27" borderId="10" xfId="0" applyNumberFormat="1" applyFont="1" applyFill="1" applyBorder="1" applyAlignment="1">
      <alignment horizontal="center"/>
    </xf>
    <xf numFmtId="0" fontId="21" fillId="26" borderId="36" xfId="0" applyFont="1" applyFill="1" applyBorder="1" applyAlignment="1">
      <alignment horizontal="center" vertical="center" wrapText="1"/>
    </xf>
    <xf numFmtId="14" fontId="21" fillId="28" borderId="35" xfId="0" applyNumberFormat="1" applyFont="1" applyFill="1" applyBorder="1" applyAlignment="1">
      <alignment horizontal="center" vertical="center" wrapText="1"/>
    </xf>
    <xf numFmtId="164" fontId="0" fillId="28" borderId="12" xfId="0" applyNumberFormat="1" applyFill="1" applyBorder="1" applyAlignment="1">
      <alignment horizontal="center"/>
    </xf>
    <xf numFmtId="164" fontId="0" fillId="28" borderId="10" xfId="0" applyNumberFormat="1" applyFill="1" applyBorder="1" applyAlignment="1">
      <alignment horizontal="center"/>
    </xf>
    <xf numFmtId="166" fontId="0" fillId="28" borderId="10" xfId="0" applyNumberFormat="1" applyFill="1" applyBorder="1" applyAlignment="1">
      <alignment horizontal="center"/>
    </xf>
    <xf numFmtId="166" fontId="28" fillId="28" borderId="10" xfId="0" applyNumberFormat="1" applyFont="1" applyFill="1" applyBorder="1" applyAlignment="1">
      <alignment horizontal="center"/>
    </xf>
    <xf numFmtId="0" fontId="22" fillId="29" borderId="18" xfId="0" applyFont="1" applyFill="1" applyBorder="1" applyAlignment="1">
      <alignment horizontal="center" vertical="center"/>
    </xf>
    <xf numFmtId="0" fontId="22" fillId="29" borderId="27" xfId="0" applyFont="1" applyFill="1" applyBorder="1" applyAlignment="1">
      <alignment horizontal="center" vertical="center" wrapText="1"/>
    </xf>
    <xf numFmtId="0" fontId="26" fillId="29" borderId="27" xfId="0" applyFont="1" applyFill="1" applyBorder="1" applyAlignment="1">
      <alignment horizontal="center" vertical="center" wrapText="1"/>
    </xf>
    <xf numFmtId="0" fontId="22" fillId="29" borderId="2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 wrapText="1"/>
    </xf>
    <xf numFmtId="0" fontId="26" fillId="29" borderId="10" xfId="0" applyFont="1" applyFill="1" applyBorder="1" applyAlignment="1">
      <alignment horizontal="center" vertical="center" wrapText="1"/>
    </xf>
    <xf numFmtId="0" fontId="22" fillId="29" borderId="22" xfId="0" applyFont="1" applyFill="1" applyBorder="1" applyAlignment="1">
      <alignment horizontal="center" vertical="center"/>
    </xf>
    <xf numFmtId="0" fontId="22" fillId="29" borderId="29" xfId="0" applyFont="1" applyFill="1" applyBorder="1" applyAlignment="1">
      <alignment horizontal="center" vertical="center" wrapText="1"/>
    </xf>
    <xf numFmtId="0" fontId="26" fillId="29" borderId="29" xfId="0" applyFont="1" applyFill="1" applyBorder="1" applyAlignment="1">
      <alignment horizontal="center" vertical="center" wrapText="1"/>
    </xf>
    <xf numFmtId="0" fontId="22" fillId="28" borderId="2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2" fillId="28" borderId="34" xfId="0" applyFont="1" applyFill="1" applyBorder="1" applyAlignment="1">
      <alignment horizontal="center" vertical="center"/>
    </xf>
    <xf numFmtId="0" fontId="22" fillId="28" borderId="22" xfId="0" applyFont="1" applyFill="1" applyBorder="1" applyAlignment="1">
      <alignment horizontal="center" vertical="center"/>
    </xf>
    <xf numFmtId="0" fontId="22" fillId="28" borderId="29" xfId="0" applyFont="1" applyFill="1" applyBorder="1" applyAlignment="1">
      <alignment horizontal="center" vertical="center" wrapText="1"/>
    </xf>
    <xf numFmtId="0" fontId="26" fillId="28" borderId="29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4" fontId="22" fillId="29" borderId="26" xfId="0" applyNumberFormat="1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25" borderId="13" xfId="0" applyFont="1" applyFill="1" applyBorder="1" applyAlignment="1">
      <alignment horizontal="center" vertical="center" wrapText="1"/>
    </xf>
    <xf numFmtId="49" fontId="22" fillId="25" borderId="26" xfId="0" applyNumberFormat="1" applyFont="1" applyFill="1" applyBorder="1" applyAlignment="1">
      <alignment horizontal="center" vertical="center"/>
    </xf>
    <xf numFmtId="14" fontId="22" fillId="26" borderId="42" xfId="0" applyNumberFormat="1" applyFont="1" applyFill="1" applyBorder="1" applyAlignment="1">
      <alignment horizontal="center" vertical="center"/>
    </xf>
    <xf numFmtId="166" fontId="22" fillId="25" borderId="43" xfId="0" applyNumberFormat="1" applyFont="1" applyFill="1" applyBorder="1" applyAlignment="1">
      <alignment horizontal="center" vertical="center" wrapText="1"/>
    </xf>
    <xf numFmtId="0" fontId="22" fillId="28" borderId="11" xfId="0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4" fontId="22" fillId="25" borderId="11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/>
    </xf>
    <xf numFmtId="166" fontId="22" fillId="25" borderId="44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66" fontId="22" fillId="25" borderId="10" xfId="0" applyNumberFormat="1" applyFont="1" applyFill="1" applyBorder="1" applyAlignment="1">
      <alignment horizontal="center" vertical="center" wrapText="1"/>
    </xf>
    <xf numFmtId="14" fontId="22" fillId="27" borderId="10" xfId="0" applyNumberFormat="1" applyFont="1" applyFill="1" applyBorder="1" applyAlignment="1">
      <alignment horizontal="center" vertical="center"/>
    </xf>
    <xf numFmtId="14" fontId="22" fillId="26" borderId="10" xfId="0" applyNumberFormat="1" applyFont="1" applyFill="1" applyBorder="1" applyAlignment="1">
      <alignment horizontal="center" vertical="center"/>
    </xf>
    <xf numFmtId="0" fontId="22" fillId="28" borderId="34" xfId="0" applyFont="1" applyFill="1" applyBorder="1" applyAlignment="1">
      <alignment horizontal="center" vertical="center"/>
    </xf>
    <xf numFmtId="165" fontId="22" fillId="28" borderId="26" xfId="0" applyNumberFormat="1" applyFont="1" applyFill="1" applyBorder="1" applyAlignment="1">
      <alignment horizontal="center" vertical="center" wrapText="1"/>
    </xf>
    <xf numFmtId="165" fontId="22" fillId="28" borderId="10" xfId="0" applyNumberFormat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3" fontId="26" fillId="29" borderId="27" xfId="0" applyNumberFormat="1" applyFont="1" applyFill="1" applyBorder="1" applyAlignment="1">
      <alignment horizontal="center" vertical="center" wrapText="1"/>
    </xf>
    <xf numFmtId="3" fontId="26" fillId="29" borderId="10" xfId="0" applyNumberFormat="1" applyFont="1" applyFill="1" applyBorder="1" applyAlignment="1">
      <alignment horizontal="center" vertical="center" wrapText="1"/>
    </xf>
    <xf numFmtId="3" fontId="22" fillId="29" borderId="10" xfId="0" applyNumberFormat="1" applyFont="1" applyFill="1" applyBorder="1" applyAlignment="1">
      <alignment horizontal="center" vertical="center" wrapText="1"/>
    </xf>
    <xf numFmtId="3" fontId="22" fillId="28" borderId="26" xfId="0" applyNumberFormat="1" applyFont="1" applyFill="1" applyBorder="1" applyAlignment="1">
      <alignment horizontal="center" vertical="center" wrapText="1"/>
    </xf>
    <xf numFmtId="3" fontId="22" fillId="28" borderId="10" xfId="0" applyNumberFormat="1" applyFont="1" applyFill="1" applyBorder="1" applyAlignment="1">
      <alignment horizontal="center" vertical="center" wrapText="1"/>
    </xf>
    <xf numFmtId="3" fontId="22" fillId="28" borderId="11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3" fontId="22" fillId="25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2" fillId="25" borderId="26" xfId="0" applyFont="1" applyFill="1" applyBorder="1" applyAlignment="1">
      <alignment horizontal="center" vertical="center" wrapText="1"/>
    </xf>
    <xf numFmtId="3" fontId="22" fillId="25" borderId="12" xfId="0" applyNumberFormat="1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/>
    </xf>
    <xf numFmtId="166" fontId="0" fillId="0" borderId="0" xfId="0" applyNumberFormat="1" applyAlignment="1">
      <alignment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22" fillId="28" borderId="26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2" fillId="28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30" borderId="20" xfId="0" applyFont="1" applyFill="1" applyBorder="1" applyAlignment="1">
      <alignment horizontal="center" vertical="center"/>
    </xf>
    <xf numFmtId="165" fontId="26" fillId="30" borderId="10" xfId="0" applyNumberFormat="1" applyFont="1" applyFill="1" applyBorder="1" applyAlignment="1">
      <alignment horizontal="center" vertical="center" wrapText="1"/>
    </xf>
    <xf numFmtId="0" fontId="26" fillId="30" borderId="10" xfId="0" applyFont="1" applyFill="1" applyBorder="1" applyAlignment="1">
      <alignment horizontal="center" vertical="center" wrapText="1"/>
    </xf>
    <xf numFmtId="0" fontId="22" fillId="30" borderId="22" xfId="0" applyFont="1" applyFill="1" applyBorder="1" applyAlignment="1">
      <alignment horizontal="center" vertical="center"/>
    </xf>
    <xf numFmtId="0" fontId="26" fillId="30" borderId="29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26" fillId="29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3" fontId="22" fillId="29" borderId="27" xfId="0" applyNumberFormat="1" applyFont="1" applyFill="1" applyBorder="1" applyAlignment="1">
      <alignment horizontal="center" vertical="center" wrapText="1"/>
    </xf>
    <xf numFmtId="166" fontId="22" fillId="25" borderId="27" xfId="0" applyNumberFormat="1" applyFont="1" applyFill="1" applyBorder="1" applyAlignment="1">
      <alignment horizontal="center" vertical="center" wrapText="1"/>
    </xf>
    <xf numFmtId="166" fontId="22" fillId="25" borderId="29" xfId="0" applyNumberFormat="1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14" fontId="22" fillId="26" borderId="27" xfId="0" applyNumberFormat="1" applyFont="1" applyFill="1" applyBorder="1" applyAlignment="1">
      <alignment horizontal="center" vertical="center"/>
    </xf>
    <xf numFmtId="14" fontId="22" fillId="26" borderId="29" xfId="0" applyNumberFormat="1" applyFont="1" applyFill="1" applyBorder="1" applyAlignment="1">
      <alignment horizontal="center" vertical="center"/>
    </xf>
    <xf numFmtId="14" fontId="22" fillId="27" borderId="29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 wrapText="1"/>
    </xf>
    <xf numFmtId="0" fontId="26" fillId="25" borderId="27" xfId="0" applyFont="1" applyFill="1" applyBorder="1" applyAlignment="1">
      <alignment horizontal="center" vertical="center" wrapText="1"/>
    </xf>
    <xf numFmtId="14" fontId="22" fillId="25" borderId="27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14" fontId="22" fillId="25" borderId="29" xfId="0" applyNumberFormat="1" applyFont="1" applyFill="1" applyBorder="1" applyAlignment="1">
      <alignment horizontal="center" vertical="center" wrapText="1"/>
    </xf>
    <xf numFmtId="14" fontId="22" fillId="25" borderId="29" xfId="0" applyNumberFormat="1" applyFont="1" applyFill="1" applyBorder="1" applyAlignment="1">
      <alignment horizontal="center" vertical="center"/>
    </xf>
    <xf numFmtId="0" fontId="22" fillId="30" borderId="29" xfId="0" applyFont="1" applyFill="1" applyBorder="1" applyAlignment="1">
      <alignment horizontal="center" vertical="center" wrapText="1"/>
    </xf>
    <xf numFmtId="14" fontId="22" fillId="26" borderId="36" xfId="0" applyNumberFormat="1" applyFont="1" applyFill="1" applyBorder="1" applyAlignment="1">
      <alignment horizontal="center" vertical="center"/>
    </xf>
    <xf numFmtId="166" fontId="22" fillId="25" borderId="36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21" fillId="29" borderId="46" xfId="0" applyFont="1" applyFill="1" applyBorder="1" applyAlignment="1">
      <alignment horizontal="center" vertical="center"/>
    </xf>
    <xf numFmtId="0" fontId="31" fillId="29" borderId="26" xfId="0" applyFont="1" applyFill="1" applyBorder="1" applyAlignment="1">
      <alignment horizontal="center" vertical="center" wrapText="1"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/>
    <xf numFmtId="0" fontId="28" fillId="0" borderId="0" xfId="0" applyFont="1"/>
    <xf numFmtId="165" fontId="31" fillId="29" borderId="26" xfId="0" applyNumberFormat="1" applyFont="1" applyFill="1" applyBorder="1" applyAlignment="1">
      <alignment horizontal="center" vertical="center" wrapText="1"/>
    </xf>
    <xf numFmtId="0" fontId="21" fillId="29" borderId="26" xfId="0" applyFont="1" applyFill="1" applyBorder="1" applyAlignment="1">
      <alignment horizontal="right" vertical="center" wrapText="1"/>
    </xf>
    <xf numFmtId="0" fontId="21" fillId="28" borderId="46" xfId="0" applyFont="1" applyFill="1" applyBorder="1" applyAlignment="1">
      <alignment horizontal="center" vertical="center"/>
    </xf>
    <xf numFmtId="0" fontId="31" fillId="28" borderId="26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1" fillId="28" borderId="26" xfId="0" applyFont="1" applyFill="1" applyBorder="1" applyAlignment="1">
      <alignment horizontal="right" vertical="center" wrapText="1"/>
    </xf>
    <xf numFmtId="0" fontId="21" fillId="30" borderId="46" xfId="0" applyFont="1" applyFill="1" applyBorder="1" applyAlignment="1">
      <alignment horizontal="center" vertical="center"/>
    </xf>
    <xf numFmtId="165" fontId="31" fillId="30" borderId="26" xfId="0" applyNumberFormat="1" applyFont="1" applyFill="1" applyBorder="1" applyAlignment="1">
      <alignment horizontal="center" vertical="center" wrapText="1"/>
    </xf>
    <xf numFmtId="0" fontId="21" fillId="30" borderId="26" xfId="0" applyFont="1" applyFill="1" applyBorder="1" applyAlignment="1">
      <alignment horizontal="right" vertical="center" wrapText="1"/>
    </xf>
    <xf numFmtId="14" fontId="21" fillId="27" borderId="25" xfId="0" applyNumberFormat="1" applyFont="1" applyFill="1" applyBorder="1" applyAlignment="1">
      <alignment horizontal="center" vertical="center" wrapText="1"/>
    </xf>
    <xf numFmtId="164" fontId="0" fillId="27" borderId="16" xfId="0" applyNumberFormat="1" applyFill="1" applyBorder="1" applyAlignment="1">
      <alignment horizontal="center"/>
    </xf>
    <xf numFmtId="164" fontId="0" fillId="27" borderId="13" xfId="0" applyNumberFormat="1" applyFill="1" applyBorder="1" applyAlignment="1">
      <alignment horizontal="center"/>
    </xf>
    <xf numFmtId="164" fontId="28" fillId="27" borderId="13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164" fontId="0" fillId="25" borderId="10" xfId="0" applyNumberFormat="1" applyFill="1" applyBorder="1" applyAlignment="1">
      <alignment horizontal="center"/>
    </xf>
    <xf numFmtId="164" fontId="0" fillId="0" borderId="10" xfId="0" applyNumberFormat="1" applyFill="1" applyBorder="1"/>
    <xf numFmtId="164" fontId="28" fillId="25" borderId="10" xfId="0" applyNumberFormat="1" applyFont="1" applyFill="1" applyBorder="1" applyAlignment="1">
      <alignment horizontal="center"/>
    </xf>
    <xf numFmtId="166" fontId="0" fillId="0" borderId="10" xfId="0" applyNumberFormat="1" applyFill="1" applyBorder="1"/>
    <xf numFmtId="166" fontId="21" fillId="0" borderId="10" xfId="0" applyNumberFormat="1" applyFont="1" applyFill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166" fontId="31" fillId="29" borderId="26" xfId="0" applyNumberFormat="1" applyFont="1" applyFill="1" applyBorder="1" applyAlignment="1">
      <alignment horizontal="center" vertical="center" wrapText="1"/>
    </xf>
    <xf numFmtId="166" fontId="31" fillId="28" borderId="26" xfId="0" applyNumberFormat="1" applyFont="1" applyFill="1" applyBorder="1" applyAlignment="1">
      <alignment horizontal="center" vertical="center" wrapText="1"/>
    </xf>
    <xf numFmtId="166" fontId="31" fillId="30" borderId="26" xfId="0" applyNumberFormat="1" applyFont="1" applyFill="1" applyBorder="1" applyAlignment="1">
      <alignment horizontal="center" vertical="center" wrapText="1"/>
    </xf>
    <xf numFmtId="49" fontId="22" fillId="25" borderId="27" xfId="0" applyNumberFormat="1" applyFont="1" applyFill="1" applyBorder="1" applyAlignment="1">
      <alignment horizontal="center" vertical="center"/>
    </xf>
    <xf numFmtId="49" fontId="22" fillId="25" borderId="29" xfId="0" applyNumberFormat="1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 wrapText="1"/>
    </xf>
    <xf numFmtId="0" fontId="22" fillId="28" borderId="20" xfId="0" applyFont="1" applyFill="1" applyBorder="1" applyAlignment="1">
      <alignment horizontal="center" vertical="center"/>
    </xf>
    <xf numFmtId="0" fontId="26" fillId="28" borderId="10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14" fontId="22" fillId="25" borderId="27" xfId="0" applyNumberFormat="1" applyFont="1" applyFill="1" applyBorder="1" applyAlignment="1">
      <alignment horizontal="center" vertical="center" wrapText="1"/>
    </xf>
    <xf numFmtId="14" fontId="22" fillId="25" borderId="29" xfId="0" applyNumberFormat="1" applyFont="1" applyFill="1" applyBorder="1" applyAlignment="1">
      <alignment horizontal="center" vertical="center" wrapText="1"/>
    </xf>
    <xf numFmtId="0" fontId="22" fillId="28" borderId="11" xfId="0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 vertical="center" wrapText="1"/>
    </xf>
    <xf numFmtId="0" fontId="22" fillId="28" borderId="34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 wrapText="1"/>
    </xf>
    <xf numFmtId="0" fontId="26" fillId="29" borderId="10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31" borderId="10" xfId="0" applyFill="1" applyBorder="1"/>
    <xf numFmtId="166" fontId="22" fillId="31" borderId="10" xfId="0" applyNumberFormat="1" applyFont="1" applyFill="1" applyBorder="1" applyAlignment="1">
      <alignment horizontal="center" vertical="center" wrapText="1"/>
    </xf>
    <xf numFmtId="166" fontId="22" fillId="31" borderId="29" xfId="0" applyNumberFormat="1" applyFont="1" applyFill="1" applyBorder="1" applyAlignment="1">
      <alignment horizontal="center" vertical="center" wrapText="1"/>
    </xf>
    <xf numFmtId="166" fontId="22" fillId="31" borderId="27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4" fontId="22" fillId="31" borderId="10" xfId="0" applyNumberFormat="1" applyFont="1" applyFill="1" applyBorder="1" applyAlignment="1">
      <alignment horizontal="center" vertical="center" wrapText="1"/>
    </xf>
    <xf numFmtId="14" fontId="31" fillId="29" borderId="26" xfId="0" applyNumberFormat="1" applyFont="1" applyFill="1" applyBorder="1" applyAlignment="1">
      <alignment horizontal="center" vertical="center" wrapText="1"/>
    </xf>
    <xf numFmtId="14" fontId="31" fillId="28" borderId="26" xfId="0" applyNumberFormat="1" applyFont="1" applyFill="1" applyBorder="1" applyAlignment="1">
      <alignment horizontal="center" vertical="center" wrapText="1"/>
    </xf>
    <xf numFmtId="14" fontId="22" fillId="31" borderId="29" xfId="0" applyNumberFormat="1" applyFont="1" applyFill="1" applyBorder="1" applyAlignment="1">
      <alignment horizontal="center" vertical="center" wrapText="1"/>
    </xf>
    <xf numFmtId="14" fontId="31" fillId="30" borderId="26" xfId="0" applyNumberFormat="1" applyFont="1" applyFill="1" applyBorder="1" applyAlignment="1">
      <alignment horizontal="center" vertical="center" wrapText="1"/>
    </xf>
    <xf numFmtId="166" fontId="22" fillId="32" borderId="10" xfId="0" applyNumberFormat="1" applyFont="1" applyFill="1" applyBorder="1" applyAlignment="1">
      <alignment horizontal="center" vertical="center" wrapText="1"/>
    </xf>
    <xf numFmtId="166" fontId="22" fillId="32" borderId="31" xfId="0" applyNumberFormat="1" applyFont="1" applyFill="1" applyBorder="1" applyAlignment="1">
      <alignment horizontal="center" vertical="center" wrapText="1"/>
    </xf>
    <xf numFmtId="14" fontId="22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/>
    <xf numFmtId="0" fontId="0" fillId="33" borderId="10" xfId="0" applyFill="1" applyBorder="1"/>
    <xf numFmtId="166" fontId="0" fillId="33" borderId="10" xfId="0" applyNumberFormat="1" applyFill="1" applyBorder="1"/>
    <xf numFmtId="166" fontId="0" fillId="32" borderId="10" xfId="0" applyNumberFormat="1" applyFill="1" applyBorder="1"/>
    <xf numFmtId="14" fontId="22" fillId="26" borderId="12" xfId="0" applyNumberFormat="1" applyFont="1" applyFill="1" applyBorder="1" applyAlignment="1">
      <alignment horizontal="center" vertical="center"/>
    </xf>
    <xf numFmtId="166" fontId="22" fillId="25" borderId="1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 wrapText="1"/>
    </xf>
    <xf numFmtId="0" fontId="26" fillId="30" borderId="11" xfId="0" applyFont="1" applyFill="1" applyBorder="1" applyAlignment="1">
      <alignment horizontal="center" vertical="center" wrapText="1"/>
    </xf>
    <xf numFmtId="14" fontId="22" fillId="27" borderId="11" xfId="0" applyNumberFormat="1" applyFont="1" applyFill="1" applyBorder="1" applyAlignment="1">
      <alignment horizontal="center" vertical="center"/>
    </xf>
    <xf numFmtId="166" fontId="22" fillId="25" borderId="11" xfId="0" applyNumberFormat="1" applyFont="1" applyFill="1" applyBorder="1" applyAlignment="1">
      <alignment horizontal="center" vertical="center" wrapText="1"/>
    </xf>
    <xf numFmtId="14" fontId="22" fillId="25" borderId="12" xfId="0" applyNumberFormat="1" applyFont="1" applyFill="1" applyBorder="1" applyAlignment="1">
      <alignment horizontal="center" vertical="center"/>
    </xf>
    <xf numFmtId="0" fontId="21" fillId="28" borderId="20" xfId="0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right" vertical="center" wrapText="1"/>
    </xf>
    <xf numFmtId="0" fontId="31" fillId="28" borderId="10" xfId="0" applyFont="1" applyFill="1" applyBorder="1" applyAlignment="1">
      <alignment horizontal="center" vertical="center" wrapText="1"/>
    </xf>
    <xf numFmtId="166" fontId="31" fillId="28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3" fillId="0" borderId="10" xfId="0" applyFont="1" applyBorder="1"/>
    <xf numFmtId="164" fontId="33" fillId="25" borderId="10" xfId="0" applyNumberFormat="1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/>
    </xf>
    <xf numFmtId="0" fontId="34" fillId="25" borderId="0" xfId="0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14" fontId="22" fillId="26" borderId="26" xfId="0" applyNumberFormat="1" applyFont="1" applyFill="1" applyBorder="1" applyAlignment="1">
      <alignment horizontal="center" vertical="center"/>
    </xf>
    <xf numFmtId="0" fontId="21" fillId="30" borderId="35" xfId="0" applyFont="1" applyFill="1" applyBorder="1" applyAlignment="1">
      <alignment horizontal="center" vertical="center"/>
    </xf>
    <xf numFmtId="0" fontId="21" fillId="30" borderId="36" xfId="0" applyFont="1" applyFill="1" applyBorder="1" applyAlignment="1">
      <alignment horizontal="right" vertical="center" wrapText="1"/>
    </xf>
    <xf numFmtId="165" fontId="31" fillId="30" borderId="36" xfId="0" applyNumberFormat="1" applyFont="1" applyFill="1" applyBorder="1" applyAlignment="1">
      <alignment horizontal="center" vertical="center" wrapText="1"/>
    </xf>
    <xf numFmtId="166" fontId="31" fillId="30" borderId="36" xfId="0" applyNumberFormat="1" applyFont="1" applyFill="1" applyBorder="1" applyAlignment="1">
      <alignment horizontal="center" vertical="center" wrapText="1"/>
    </xf>
    <xf numFmtId="166" fontId="32" fillId="25" borderId="10" xfId="0" applyNumberFormat="1" applyFont="1" applyFill="1" applyBorder="1" applyAlignment="1">
      <alignment horizontal="center" vertical="center"/>
    </xf>
    <xf numFmtId="166" fontId="33" fillId="25" borderId="10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22" fillId="25" borderId="23" xfId="0" applyNumberFormat="1" applyFont="1" applyFill="1" applyBorder="1" applyAlignment="1">
      <alignment horizontal="center" vertical="center" wrapText="1"/>
    </xf>
    <xf numFmtId="166" fontId="22" fillId="25" borderId="13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66" fontId="32" fillId="25" borderId="10" xfId="0" applyNumberFormat="1" applyFont="1" applyFill="1" applyBorder="1" applyAlignment="1">
      <alignment horizontal="center" vertical="center" wrapText="1"/>
    </xf>
    <xf numFmtId="14" fontId="22" fillId="25" borderId="25" xfId="0" applyNumberFormat="1" applyFont="1" applyFill="1" applyBorder="1" applyAlignment="1">
      <alignment horizontal="center" vertical="center" wrapText="1"/>
    </xf>
    <xf numFmtId="2" fontId="27" fillId="25" borderId="13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/>
    <xf numFmtId="166" fontId="0" fillId="0" borderId="13" xfId="0" applyNumberFormat="1" applyFill="1" applyBorder="1"/>
    <xf numFmtId="0" fontId="21" fillId="0" borderId="10" xfId="0" applyFont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166" fontId="31" fillId="29" borderId="36" xfId="0" applyNumberFormat="1" applyFont="1" applyFill="1" applyBorder="1" applyAlignment="1">
      <alignment horizontal="center" vertical="center" wrapText="1"/>
    </xf>
    <xf numFmtId="166" fontId="22" fillId="25" borderId="16" xfId="0" applyNumberFormat="1" applyFont="1" applyFill="1" applyBorder="1" applyAlignment="1">
      <alignment horizontal="center" vertical="center" wrapText="1"/>
    </xf>
    <xf numFmtId="166" fontId="22" fillId="25" borderId="24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/>
    <xf numFmtId="166" fontId="35" fillId="0" borderId="0" xfId="0" applyNumberFormat="1" applyFont="1" applyAlignment="1">
      <alignment wrapText="1"/>
    </xf>
    <xf numFmtId="166" fontId="36" fillId="0" borderId="0" xfId="0" applyNumberFormat="1" applyFont="1" applyAlignment="1">
      <alignment wrapText="1"/>
    </xf>
    <xf numFmtId="166" fontId="31" fillId="25" borderId="26" xfId="0" applyNumberFormat="1" applyFont="1" applyFill="1" applyBorder="1" applyAlignment="1">
      <alignment horizontal="center" vertical="center" wrapText="1"/>
    </xf>
    <xf numFmtId="166" fontId="31" fillId="25" borderId="10" xfId="0" applyNumberFormat="1" applyFont="1" applyFill="1" applyBorder="1" applyAlignment="1">
      <alignment horizontal="center" vertical="center" wrapText="1"/>
    </xf>
    <xf numFmtId="166" fontId="22" fillId="33" borderId="10" xfId="0" applyNumberFormat="1" applyFont="1" applyFill="1" applyBorder="1" applyAlignment="1">
      <alignment horizontal="center" vertical="center" wrapText="1"/>
    </xf>
    <xf numFmtId="166" fontId="22" fillId="33" borderId="27" xfId="0" applyNumberFormat="1" applyFont="1" applyFill="1" applyBorder="1" applyAlignment="1">
      <alignment horizontal="center" vertical="center" wrapText="1"/>
    </xf>
    <xf numFmtId="166" fontId="22" fillId="33" borderId="12" xfId="0" applyNumberFormat="1" applyFont="1" applyFill="1" applyBorder="1" applyAlignment="1">
      <alignment horizontal="center" vertical="center" wrapText="1"/>
    </xf>
    <xf numFmtId="166" fontId="22" fillId="33" borderId="11" xfId="0" applyNumberFormat="1" applyFont="1" applyFill="1" applyBorder="1" applyAlignment="1">
      <alignment horizontal="center" vertical="center" wrapText="1"/>
    </xf>
    <xf numFmtId="166" fontId="22" fillId="33" borderId="29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/>
    </xf>
    <xf numFmtId="166" fontId="27" fillId="25" borderId="10" xfId="0" applyNumberFormat="1" applyFont="1" applyFill="1" applyBorder="1" applyAlignment="1">
      <alignment horizontal="center" vertical="center" wrapText="1"/>
    </xf>
    <xf numFmtId="168" fontId="29" fillId="25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/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/>
    <xf numFmtId="164" fontId="32" fillId="0" borderId="10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168" fontId="32" fillId="0" borderId="1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0" fillId="0" borderId="10" xfId="0" applyFont="1" applyBorder="1"/>
    <xf numFmtId="0" fontId="0" fillId="0" borderId="0" xfId="0" applyFont="1"/>
    <xf numFmtId="165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/>
    <xf numFmtId="0" fontId="37" fillId="34" borderId="10" xfId="0" applyFont="1" applyFill="1" applyBorder="1" applyAlignment="1">
      <alignment horizontal="center" vertical="center" wrapText="1"/>
    </xf>
    <xf numFmtId="166" fontId="37" fillId="34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165" fontId="21" fillId="25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5" fontId="40" fillId="25" borderId="10" xfId="0" applyNumberFormat="1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Alignment="1">
      <alignment horizontal="center"/>
    </xf>
    <xf numFmtId="14" fontId="44" fillId="25" borderId="12" xfId="0" applyNumberFormat="1" applyFont="1" applyFill="1" applyBorder="1" applyAlignment="1">
      <alignment horizontal="center" vertical="center" wrapText="1"/>
    </xf>
    <xf numFmtId="14" fontId="44" fillId="25" borderId="29" xfId="0" applyNumberFormat="1" applyFont="1" applyFill="1" applyBorder="1" applyAlignment="1">
      <alignment horizontal="center" vertical="center" wrapText="1"/>
    </xf>
    <xf numFmtId="165" fontId="45" fillId="30" borderId="36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right" vertical="center"/>
    </xf>
    <xf numFmtId="165" fontId="43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14" fontId="42" fillId="0" borderId="12" xfId="0" applyNumberFormat="1" applyFont="1" applyFill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/>
    </xf>
    <xf numFmtId="14" fontId="43" fillId="0" borderId="16" xfId="0" applyNumberFormat="1" applyFont="1" applyBorder="1" applyAlignment="1">
      <alignment horizontal="center" vertical="center"/>
    </xf>
    <xf numFmtId="166" fontId="46" fillId="25" borderId="16" xfId="0" applyNumberFormat="1" applyFont="1" applyFill="1" applyBorder="1" applyAlignment="1">
      <alignment horizontal="center" vertical="center" wrapText="1"/>
    </xf>
    <xf numFmtId="168" fontId="46" fillId="25" borderId="16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14" fontId="47" fillId="25" borderId="15" xfId="0" applyNumberFormat="1" applyFont="1" applyFill="1" applyBorder="1" applyAlignment="1">
      <alignment horizontal="center" vertical="center" wrapText="1"/>
    </xf>
    <xf numFmtId="0" fontId="47" fillId="29" borderId="26" xfId="0" applyFont="1" applyFill="1" applyBorder="1" applyAlignment="1">
      <alignment horizontal="center" vertical="center" wrapText="1"/>
    </xf>
    <xf numFmtId="0" fontId="47" fillId="28" borderId="10" xfId="0" applyFont="1" applyFill="1" applyBorder="1" applyAlignment="1">
      <alignment horizontal="center" vertical="center" wrapText="1"/>
    </xf>
    <xf numFmtId="14" fontId="47" fillId="25" borderId="23" xfId="0" applyNumberFormat="1" applyFont="1" applyFill="1" applyBorder="1" applyAlignment="1">
      <alignment horizontal="center" vertical="center" wrapText="1"/>
    </xf>
    <xf numFmtId="14" fontId="47" fillId="25" borderId="13" xfId="0" applyNumberFormat="1" applyFont="1" applyFill="1" applyBorder="1" applyAlignment="1">
      <alignment horizontal="center" vertical="center" wrapText="1"/>
    </xf>
    <xf numFmtId="14" fontId="47" fillId="25" borderId="24" xfId="0" applyNumberFormat="1" applyFont="1" applyFill="1" applyBorder="1" applyAlignment="1">
      <alignment horizontal="center" vertical="center" wrapText="1"/>
    </xf>
    <xf numFmtId="14" fontId="47" fillId="25" borderId="10" xfId="0" applyNumberFormat="1" applyFont="1" applyFill="1" applyBorder="1" applyAlignment="1">
      <alignment horizontal="center" vertical="center" wrapText="1"/>
    </xf>
    <xf numFmtId="14" fontId="47" fillId="25" borderId="29" xfId="0" applyNumberFormat="1" applyFont="1" applyFill="1" applyBorder="1" applyAlignment="1">
      <alignment horizontal="center" vertical="center" wrapText="1"/>
    </xf>
    <xf numFmtId="0" fontId="22" fillId="25" borderId="27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2" fillId="30" borderId="27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2" fillId="28" borderId="27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0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48" fillId="0" borderId="10" xfId="0" applyFont="1" applyBorder="1"/>
    <xf numFmtId="0" fontId="48" fillId="0" borderId="11" xfId="0" applyFont="1" applyBorder="1"/>
    <xf numFmtId="0" fontId="49" fillId="35" borderId="10" xfId="0" applyFont="1" applyFill="1" applyBorder="1" applyAlignment="1">
      <alignment horizontal="left" vertical="center" wrapText="1"/>
    </xf>
    <xf numFmtId="0" fontId="0" fillId="33" borderId="13" xfId="0" applyFill="1" applyBorder="1"/>
    <xf numFmtId="166" fontId="0" fillId="33" borderId="13" xfId="0" applyNumberFormat="1" applyFill="1" applyBorder="1"/>
    <xf numFmtId="0" fontId="0" fillId="32" borderId="13" xfId="0" applyFill="1" applyBorder="1"/>
    <xf numFmtId="166" fontId="0" fillId="32" borderId="13" xfId="0" applyNumberFormat="1" applyFill="1" applyBorder="1"/>
    <xf numFmtId="166" fontId="0" fillId="0" borderId="13" xfId="0" applyNumberFormat="1" applyBorder="1"/>
    <xf numFmtId="0" fontId="48" fillId="0" borderId="0" xfId="0" applyFont="1" applyBorder="1"/>
    <xf numFmtId="0" fontId="49" fillId="35" borderId="0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vertical="center"/>
    </xf>
    <xf numFmtId="165" fontId="48" fillId="0" borderId="0" xfId="0" applyNumberFormat="1" applyFont="1" applyBorder="1"/>
    <xf numFmtId="0" fontId="22" fillId="0" borderId="1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165" fontId="26" fillId="25" borderId="27" xfId="0" applyNumberFormat="1" applyFont="1" applyFill="1" applyBorder="1" applyAlignment="1">
      <alignment horizontal="center" vertical="center" wrapText="1"/>
    </xf>
    <xf numFmtId="165" fontId="26" fillId="25" borderId="29" xfId="0" applyNumberFormat="1" applyFont="1" applyFill="1" applyBorder="1" applyAlignment="1">
      <alignment horizontal="center" vertical="center" wrapText="1"/>
    </xf>
    <xf numFmtId="0" fontId="26" fillId="25" borderId="27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14" fontId="22" fillId="25" borderId="27" xfId="0" applyNumberFormat="1" applyFont="1" applyFill="1" applyBorder="1" applyAlignment="1">
      <alignment horizontal="center" vertical="center" wrapText="1"/>
    </xf>
    <xf numFmtId="14" fontId="22" fillId="25" borderId="29" xfId="0" applyNumberFormat="1" applyFont="1" applyFill="1" applyBorder="1" applyAlignment="1">
      <alignment horizontal="center" vertical="center" wrapText="1"/>
    </xf>
    <xf numFmtId="0" fontId="22" fillId="30" borderId="18" xfId="0" applyFont="1" applyFill="1" applyBorder="1" applyAlignment="1">
      <alignment horizontal="center" vertical="center"/>
    </xf>
    <xf numFmtId="0" fontId="22" fillId="30" borderId="20" xfId="0" applyFont="1" applyFill="1" applyBorder="1" applyAlignment="1">
      <alignment horizontal="center" vertical="center"/>
    </xf>
    <xf numFmtId="0" fontId="22" fillId="30" borderId="27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165" fontId="26" fillId="30" borderId="27" xfId="0" applyNumberFormat="1" applyFont="1" applyFill="1" applyBorder="1" applyAlignment="1">
      <alignment horizontal="center" vertical="center" wrapText="1"/>
    </xf>
    <xf numFmtId="165" fontId="26" fillId="30" borderId="10" xfId="0" applyNumberFormat="1" applyFont="1" applyFill="1" applyBorder="1" applyAlignment="1">
      <alignment horizontal="center" vertical="center" wrapText="1"/>
    </xf>
    <xf numFmtId="0" fontId="26" fillId="30" borderId="27" xfId="0" applyFont="1" applyFill="1" applyBorder="1" applyAlignment="1">
      <alignment horizontal="center" vertical="center" wrapText="1"/>
    </xf>
    <xf numFmtId="0" fontId="26" fillId="30" borderId="10" xfId="0" applyFont="1" applyFill="1" applyBorder="1" applyAlignment="1">
      <alignment horizontal="center" vertical="center" wrapText="1"/>
    </xf>
    <xf numFmtId="0" fontId="22" fillId="28" borderId="18" xfId="0" applyFont="1" applyFill="1" applyBorder="1" applyAlignment="1">
      <alignment horizontal="center" vertical="center"/>
    </xf>
    <xf numFmtId="0" fontId="22" fillId="28" borderId="20" xfId="0" applyFont="1" applyFill="1" applyBorder="1" applyAlignment="1">
      <alignment horizontal="center" vertical="center"/>
    </xf>
    <xf numFmtId="0" fontId="22" fillId="28" borderId="27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6" fillId="28" borderId="27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4" fontId="22" fillId="31" borderId="48" xfId="0" applyNumberFormat="1" applyFont="1" applyFill="1" applyBorder="1" applyAlignment="1">
      <alignment horizontal="center" vertical="center" wrapText="1"/>
    </xf>
    <xf numFmtId="14" fontId="22" fillId="31" borderId="32" xfId="0" applyNumberFormat="1" applyFont="1" applyFill="1" applyBorder="1" applyAlignment="1">
      <alignment horizontal="center" vertical="center" wrapText="1"/>
    </xf>
    <xf numFmtId="166" fontId="21" fillId="0" borderId="40" xfId="0" applyNumberFormat="1" applyFont="1" applyFill="1" applyBorder="1" applyAlignment="1">
      <alignment horizontal="center" vertical="center"/>
    </xf>
    <xf numFmtId="166" fontId="21" fillId="0" borderId="47" xfId="0" applyNumberFormat="1" applyFont="1" applyFill="1" applyBorder="1" applyAlignment="1">
      <alignment horizontal="center" vertical="center"/>
    </xf>
    <xf numFmtId="166" fontId="28" fillId="0" borderId="38" xfId="0" applyNumberFormat="1" applyFont="1" applyFill="1" applyBorder="1" applyAlignment="1">
      <alignment horizontal="center" wrapText="1"/>
    </xf>
    <xf numFmtId="166" fontId="28" fillId="0" borderId="39" xfId="0" applyNumberFormat="1" applyFont="1" applyFill="1" applyBorder="1" applyAlignment="1">
      <alignment horizontal="center" wrapText="1"/>
    </xf>
    <xf numFmtId="49" fontId="22" fillId="25" borderId="27" xfId="0" applyNumberFormat="1" applyFont="1" applyFill="1" applyBorder="1" applyAlignment="1">
      <alignment horizontal="center" vertical="center"/>
    </xf>
    <xf numFmtId="49" fontId="22" fillId="25" borderId="29" xfId="0" applyNumberFormat="1" applyFont="1" applyFill="1" applyBorder="1" applyAlignment="1">
      <alignment horizontal="center" vertical="center"/>
    </xf>
    <xf numFmtId="14" fontId="22" fillId="29" borderId="27" xfId="0" applyNumberFormat="1" applyFont="1" applyFill="1" applyBorder="1" applyAlignment="1">
      <alignment horizontal="center" vertical="center" wrapText="1"/>
    </xf>
    <xf numFmtId="14" fontId="22" fillId="29" borderId="10" xfId="0" applyNumberFormat="1" applyFont="1" applyFill="1" applyBorder="1" applyAlignment="1">
      <alignment horizontal="center" vertical="center" wrapText="1"/>
    </xf>
    <xf numFmtId="14" fontId="22" fillId="29" borderId="29" xfId="0" applyNumberFormat="1" applyFont="1" applyFill="1" applyBorder="1" applyAlignment="1">
      <alignment horizontal="center" vertical="center" wrapText="1"/>
    </xf>
    <xf numFmtId="14" fontId="22" fillId="28" borderId="27" xfId="0" applyNumberFormat="1" applyFont="1" applyFill="1" applyBorder="1" applyAlignment="1">
      <alignment horizontal="center" vertical="center" wrapText="1"/>
    </xf>
    <xf numFmtId="14" fontId="22" fillId="28" borderId="10" xfId="0" applyNumberFormat="1" applyFont="1" applyFill="1" applyBorder="1" applyAlignment="1">
      <alignment horizontal="center" vertical="center" wrapText="1"/>
    </xf>
    <xf numFmtId="14" fontId="22" fillId="28" borderId="29" xfId="0" applyNumberFormat="1" applyFont="1" applyFill="1" applyBorder="1" applyAlignment="1">
      <alignment horizontal="center" vertical="center" wrapText="1"/>
    </xf>
    <xf numFmtId="14" fontId="22" fillId="30" borderId="28" xfId="0" applyNumberFormat="1" applyFont="1" applyFill="1" applyBorder="1" applyAlignment="1">
      <alignment horizontal="center" vertical="center" wrapText="1"/>
    </xf>
    <xf numFmtId="14" fontId="22" fillId="30" borderId="26" xfId="0" applyNumberFormat="1" applyFont="1" applyFill="1" applyBorder="1" applyAlignment="1">
      <alignment horizontal="center" vertical="center" wrapText="1"/>
    </xf>
    <xf numFmtId="14" fontId="22" fillId="30" borderId="3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0" borderId="12" xfId="0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center" vertical="center"/>
    </xf>
    <xf numFmtId="0" fontId="22" fillId="30" borderId="32" xfId="0" applyFont="1" applyFill="1" applyBorder="1" applyAlignment="1">
      <alignment horizontal="center" vertical="center"/>
    </xf>
    <xf numFmtId="14" fontId="44" fillId="30" borderId="28" xfId="0" applyNumberFormat="1" applyFont="1" applyFill="1" applyBorder="1" applyAlignment="1">
      <alignment horizontal="center" vertical="center" wrapText="1"/>
    </xf>
    <xf numFmtId="14" fontId="44" fillId="30" borderId="26" xfId="0" applyNumberFormat="1" applyFont="1" applyFill="1" applyBorder="1" applyAlignment="1">
      <alignment horizontal="center" vertical="center" wrapText="1"/>
    </xf>
    <xf numFmtId="14" fontId="44" fillId="25" borderId="27" xfId="0" applyNumberFormat="1" applyFont="1" applyFill="1" applyBorder="1" applyAlignment="1">
      <alignment horizontal="center" vertical="center" wrapText="1"/>
    </xf>
    <xf numFmtId="14" fontId="44" fillId="25" borderId="29" xfId="0" applyNumberFormat="1" applyFont="1" applyFill="1" applyBorder="1" applyAlignment="1">
      <alignment horizontal="center" vertical="center" wrapText="1"/>
    </xf>
    <xf numFmtId="165" fontId="26" fillId="30" borderId="11" xfId="0" applyNumberFormat="1" applyFont="1" applyFill="1" applyBorder="1" applyAlignment="1">
      <alignment horizontal="center" vertical="center" wrapText="1"/>
    </xf>
    <xf numFmtId="165" fontId="26" fillId="30" borderId="12" xfId="0" applyNumberFormat="1" applyFont="1" applyFill="1" applyBorder="1" applyAlignment="1">
      <alignment horizontal="center" vertical="center" wrapText="1"/>
    </xf>
    <xf numFmtId="0" fontId="26" fillId="30" borderId="11" xfId="0" applyFont="1" applyFill="1" applyBorder="1" applyAlignment="1">
      <alignment horizontal="center" vertical="center" wrapText="1"/>
    </xf>
    <xf numFmtId="0" fontId="26" fillId="30" borderId="12" xfId="0" applyFont="1" applyFill="1" applyBorder="1" applyAlignment="1">
      <alignment horizontal="center" vertical="center" wrapText="1"/>
    </xf>
    <xf numFmtId="166" fontId="21" fillId="24" borderId="11" xfId="0" applyNumberFormat="1" applyFont="1" applyFill="1" applyBorder="1" applyAlignment="1">
      <alignment horizontal="center" vertical="center" wrapText="1"/>
    </xf>
    <xf numFmtId="166" fontId="21" fillId="24" borderId="12" xfId="0" applyNumberFormat="1" applyFont="1" applyFill="1" applyBorder="1" applyAlignment="1">
      <alignment horizontal="center" vertical="center" wrapText="1"/>
    </xf>
    <xf numFmtId="14" fontId="44" fillId="29" borderId="27" xfId="0" applyNumberFormat="1" applyFont="1" applyFill="1" applyBorder="1" applyAlignment="1">
      <alignment horizontal="center" vertical="center" wrapText="1"/>
    </xf>
    <xf numFmtId="14" fontId="44" fillId="29" borderId="10" xfId="0" applyNumberFormat="1" applyFont="1" applyFill="1" applyBorder="1" applyAlignment="1">
      <alignment horizontal="center" vertical="center" wrapText="1"/>
    </xf>
    <xf numFmtId="14" fontId="44" fillId="29" borderId="29" xfId="0" applyNumberFormat="1" applyFont="1" applyFill="1" applyBorder="1" applyAlignment="1">
      <alignment horizontal="center" vertical="center" wrapText="1"/>
    </xf>
    <xf numFmtId="14" fontId="44" fillId="28" borderId="27" xfId="0" applyNumberFormat="1" applyFont="1" applyFill="1" applyBorder="1" applyAlignment="1">
      <alignment horizontal="center" vertical="center" wrapText="1"/>
    </xf>
    <xf numFmtId="14" fontId="44" fillId="28" borderId="10" xfId="0" applyNumberFormat="1" applyFont="1" applyFill="1" applyBorder="1" applyAlignment="1">
      <alignment horizontal="center" vertical="center" wrapText="1"/>
    </xf>
    <xf numFmtId="14" fontId="44" fillId="28" borderId="11" xfId="0" applyNumberFormat="1" applyFont="1" applyFill="1" applyBorder="1" applyAlignment="1">
      <alignment horizontal="center" vertical="center" wrapText="1"/>
    </xf>
    <xf numFmtId="14" fontId="47" fillId="25" borderId="51" xfId="0" applyNumberFormat="1" applyFont="1" applyFill="1" applyBorder="1" applyAlignment="1">
      <alignment horizontal="center" vertical="center" wrapText="1"/>
    </xf>
    <xf numFmtId="14" fontId="47" fillId="25" borderId="16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49" fontId="22" fillId="25" borderId="28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14" fontId="47" fillId="25" borderId="28" xfId="0" applyNumberFormat="1" applyFont="1" applyFill="1" applyBorder="1" applyAlignment="1">
      <alignment horizontal="center" vertical="center" wrapText="1"/>
    </xf>
    <xf numFmtId="14" fontId="47" fillId="25" borderId="26" xfId="0" applyNumberFormat="1" applyFont="1" applyFill="1" applyBorder="1" applyAlignment="1">
      <alignment horizontal="center" vertical="center" wrapText="1"/>
    </xf>
    <xf numFmtId="14" fontId="47" fillId="25" borderId="12" xfId="0" applyNumberFormat="1" applyFont="1" applyFill="1" applyBorder="1" applyAlignment="1">
      <alignment horizontal="center" vertical="center" wrapText="1"/>
    </xf>
    <xf numFmtId="14" fontId="47" fillId="25" borderId="48" xfId="0" applyNumberFormat="1" applyFont="1" applyFill="1" applyBorder="1" applyAlignment="1">
      <alignment horizontal="center" vertical="center" wrapText="1"/>
    </xf>
    <xf numFmtId="14" fontId="47" fillId="25" borderId="53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14" fontId="22" fillId="25" borderId="48" xfId="0" applyNumberFormat="1" applyFont="1" applyFill="1" applyBorder="1" applyAlignment="1">
      <alignment horizontal="center" vertical="center" wrapText="1"/>
    </xf>
    <xf numFmtId="14" fontId="22" fillId="25" borderId="5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4" fillId="25" borderId="15" xfId="0" applyFont="1" applyFill="1" applyBorder="1" applyAlignment="1">
      <alignment horizontal="center" vertical="center" wrapText="1"/>
    </xf>
    <xf numFmtId="0" fontId="34" fillId="25" borderId="49" xfId="0" applyFont="1" applyFill="1" applyBorder="1" applyAlignment="1">
      <alignment horizontal="center" vertical="center" wrapText="1"/>
    </xf>
    <xf numFmtId="0" fontId="34" fillId="25" borderId="45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 wrapText="1"/>
    </xf>
    <xf numFmtId="0" fontId="34" fillId="25" borderId="50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165" fontId="26" fillId="25" borderId="11" xfId="0" applyNumberFormat="1" applyFont="1" applyFill="1" applyBorder="1" applyAlignment="1">
      <alignment horizontal="center" vertical="center" wrapText="1"/>
    </xf>
    <xf numFmtId="165" fontId="26" fillId="25" borderId="12" xfId="0" applyNumberFormat="1" applyFont="1" applyFill="1" applyBorder="1" applyAlignment="1">
      <alignment horizontal="center" vertical="center" wrapText="1"/>
    </xf>
    <xf numFmtId="0" fontId="22" fillId="28" borderId="11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166" fontId="21" fillId="0" borderId="41" xfId="0" applyNumberFormat="1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/>
    </xf>
    <xf numFmtId="0" fontId="22" fillId="29" borderId="11" xfId="0" applyFont="1" applyFill="1" applyBorder="1" applyAlignment="1">
      <alignment horizontal="center" vertical="center" wrapText="1"/>
    </xf>
    <xf numFmtId="0" fontId="22" fillId="29" borderId="30" xfId="0" applyFont="1" applyFill="1" applyBorder="1" applyAlignment="1">
      <alignment horizontal="center" vertical="center" wrapText="1"/>
    </xf>
    <xf numFmtId="0" fontId="26" fillId="29" borderId="10" xfId="0" applyFont="1" applyFill="1" applyBorder="1" applyAlignment="1">
      <alignment horizontal="center" vertical="center" wrapText="1"/>
    </xf>
    <xf numFmtId="0" fontId="22" fillId="28" borderId="26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 wrapText="1"/>
    </xf>
    <xf numFmtId="165" fontId="26" fillId="25" borderId="26" xfId="0" applyNumberFormat="1" applyFont="1" applyFill="1" applyBorder="1" applyAlignment="1">
      <alignment horizontal="center" vertical="center" wrapText="1"/>
    </xf>
    <xf numFmtId="0" fontId="26" fillId="25" borderId="26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14" fontId="22" fillId="25" borderId="28" xfId="0" applyNumberFormat="1" applyFont="1" applyFill="1" applyBorder="1" applyAlignment="1">
      <alignment horizontal="center" vertical="center" wrapText="1"/>
    </xf>
    <xf numFmtId="14" fontId="22" fillId="25" borderId="12" xfId="0" applyNumberFormat="1" applyFont="1" applyFill="1" applyBorder="1" applyAlignment="1">
      <alignment horizontal="center" vertical="center" wrapText="1"/>
    </xf>
    <xf numFmtId="14" fontId="22" fillId="29" borderId="28" xfId="0" applyNumberFormat="1" applyFont="1" applyFill="1" applyBorder="1" applyAlignment="1">
      <alignment horizontal="center" vertical="center" wrapText="1"/>
    </xf>
    <xf numFmtId="14" fontId="22" fillId="29" borderId="26" xfId="0" applyNumberFormat="1" applyFont="1" applyFill="1" applyBorder="1" applyAlignment="1">
      <alignment horizontal="center" vertical="center" wrapText="1"/>
    </xf>
    <xf numFmtId="14" fontId="22" fillId="29" borderId="30" xfId="0" applyNumberFormat="1" applyFont="1" applyFill="1" applyBorder="1" applyAlignment="1">
      <alignment horizontal="center" vertical="center" wrapText="1"/>
    </xf>
    <xf numFmtId="0" fontId="22" fillId="28" borderId="46" xfId="0" applyFont="1" applyFill="1" applyBorder="1" applyAlignment="1">
      <alignment horizontal="center" vertical="center"/>
    </xf>
    <xf numFmtId="0" fontId="22" fillId="28" borderId="32" xfId="0" applyFont="1" applyFill="1" applyBorder="1" applyAlignment="1">
      <alignment horizontal="center" vertical="center"/>
    </xf>
    <xf numFmtId="0" fontId="26" fillId="28" borderId="26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14" fontId="22" fillId="28" borderId="28" xfId="0" applyNumberFormat="1" applyFont="1" applyFill="1" applyBorder="1" applyAlignment="1">
      <alignment horizontal="center" vertical="center" wrapText="1"/>
    </xf>
    <xf numFmtId="14" fontId="22" fillId="28" borderId="26" xfId="0" applyNumberFormat="1" applyFont="1" applyFill="1" applyBorder="1" applyAlignment="1">
      <alignment horizontal="center" vertical="center" wrapText="1"/>
    </xf>
    <xf numFmtId="14" fontId="22" fillId="28" borderId="30" xfId="0" applyNumberFormat="1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 vertical="center" wrapText="1"/>
    </xf>
    <xf numFmtId="0" fontId="22" fillId="28" borderId="34" xfId="0" applyFont="1" applyFill="1" applyBorder="1" applyAlignment="1">
      <alignment horizontal="center" vertical="center"/>
    </xf>
    <xf numFmtId="3" fontId="22" fillId="28" borderId="11" xfId="0" applyNumberFormat="1" applyFont="1" applyFill="1" applyBorder="1" applyAlignment="1">
      <alignment horizontal="center" vertical="center" wrapText="1"/>
    </xf>
    <xf numFmtId="3" fontId="22" fillId="28" borderId="12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</cellXfs>
  <cellStyles count="46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Обычный 3" xfId="45" xr:uid="{00000000-0005-0000-0000-000025000000}"/>
    <cellStyle name="Обычный 4" xfId="44" xr:uid="{00000000-0005-0000-0000-000026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 xr:uid="{00000000-0005-0000-0000-00002B000000}"/>
    <cellStyle name="Текст предупреждения" xfId="42" builtinId="11" customBuiltin="1"/>
    <cellStyle name="Хороший" xfId="43" builtinId="26" customBuiltin="1"/>
  </cellStyles>
  <dxfs count="96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333CC"/>
      <color rgb="FF0033CC"/>
      <color rgb="FF0000FF"/>
      <color rgb="FFCC3300"/>
      <color rgb="FF00FF99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C63"/>
  <sheetViews>
    <sheetView tabSelected="1" view="pageBreakPreview" topLeftCell="B1" zoomScale="90" zoomScaleNormal="75" zoomScaleSheetLayoutView="90" workbookViewId="0">
      <selection activeCell="U8" sqref="U8"/>
    </sheetView>
  </sheetViews>
  <sheetFormatPr defaultRowHeight="12.75" x14ac:dyDescent="0.2"/>
  <cols>
    <col min="1" max="1" width="4.5703125" style="3" customWidth="1"/>
    <col min="2" max="2" width="48.85546875" customWidth="1"/>
    <col min="3" max="3" width="9.5703125" customWidth="1"/>
    <col min="4" max="4" width="10" customWidth="1"/>
    <col min="5" max="5" width="16.5703125" style="10" customWidth="1"/>
    <col min="6" max="6" width="14.85546875" style="1" customWidth="1"/>
    <col min="7" max="7" width="14.5703125" style="11" customWidth="1"/>
    <col min="8" max="8" width="13.7109375" style="11" customWidth="1"/>
    <col min="9" max="9" width="15.28515625" style="11" hidden="1" customWidth="1"/>
    <col min="10" max="10" width="17.7109375" style="1" customWidth="1"/>
    <col min="11" max="11" width="17.7109375" style="1" hidden="1" customWidth="1"/>
    <col min="12" max="12" width="17.7109375" style="1" customWidth="1"/>
    <col min="13" max="13" width="15.5703125" style="105" hidden="1" customWidth="1"/>
    <col min="14" max="15" width="14.28515625" hidden="1" customWidth="1"/>
    <col min="16" max="17" width="0" hidden="1" customWidth="1"/>
    <col min="18" max="18" width="12" hidden="1" customWidth="1"/>
    <col min="19" max="20" width="0" hidden="1" customWidth="1"/>
    <col min="22" max="22" width="5.85546875" style="312" customWidth="1"/>
    <col min="23" max="29" width="9.140625" style="312"/>
  </cols>
  <sheetData>
    <row r="1" spans="1:29" ht="21.75" customHeight="1" x14ac:dyDescent="0.2">
      <c r="A1" s="399" t="s">
        <v>57</v>
      </c>
      <c r="B1" s="399"/>
      <c r="C1" s="399"/>
      <c r="D1" s="399"/>
      <c r="E1" s="399"/>
      <c r="F1" s="399"/>
      <c r="G1" s="399"/>
      <c r="H1" s="399"/>
      <c r="I1" s="399"/>
      <c r="J1" s="399"/>
      <c r="K1" s="105"/>
      <c r="L1" s="105"/>
    </row>
    <row r="2" spans="1:29" ht="26.25" customHeight="1" x14ac:dyDescent="0.2">
      <c r="A2" s="401" t="s">
        <v>1</v>
      </c>
      <c r="B2" s="400" t="s">
        <v>2</v>
      </c>
      <c r="C2" s="400" t="s">
        <v>5</v>
      </c>
      <c r="D2" s="400" t="s">
        <v>6</v>
      </c>
      <c r="E2" s="400" t="s">
        <v>4</v>
      </c>
      <c r="F2" s="400" t="s">
        <v>3</v>
      </c>
      <c r="G2" s="400" t="s">
        <v>0</v>
      </c>
      <c r="H2" s="400" t="s">
        <v>9</v>
      </c>
      <c r="I2" s="400" t="s">
        <v>182</v>
      </c>
      <c r="J2" s="400" t="s">
        <v>12</v>
      </c>
      <c r="K2" s="400" t="s">
        <v>183</v>
      </c>
      <c r="L2" s="400" t="s">
        <v>199</v>
      </c>
      <c r="V2" s="419" t="s">
        <v>227</v>
      </c>
      <c r="W2" s="419" t="s">
        <v>228</v>
      </c>
      <c r="X2" s="419"/>
      <c r="Y2" s="419"/>
      <c r="Z2" s="419" t="s">
        <v>225</v>
      </c>
      <c r="AA2" s="419"/>
      <c r="AB2" s="419"/>
    </row>
    <row r="3" spans="1:29" ht="48" customHeight="1" x14ac:dyDescent="0.2">
      <c r="A3" s="401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V3" s="419"/>
      <c r="W3" s="9" t="s">
        <v>229</v>
      </c>
      <c r="X3" s="9" t="s">
        <v>230</v>
      </c>
      <c r="Y3" s="9" t="s">
        <v>231</v>
      </c>
      <c r="Z3" s="9" t="s">
        <v>229</v>
      </c>
      <c r="AA3" s="9" t="s">
        <v>230</v>
      </c>
      <c r="AB3" s="9" t="s">
        <v>231</v>
      </c>
    </row>
    <row r="4" spans="1:29" ht="13.5" thickBot="1" x14ac:dyDescent="0.25">
      <c r="A4" s="155">
        <v>1</v>
      </c>
      <c r="B4" s="32">
        <v>3</v>
      </c>
      <c r="C4" s="32">
        <v>5</v>
      </c>
      <c r="D4" s="32">
        <v>6</v>
      </c>
      <c r="E4" s="33">
        <v>7</v>
      </c>
      <c r="F4" s="32">
        <v>8</v>
      </c>
      <c r="G4" s="155">
        <v>9</v>
      </c>
      <c r="H4" s="155">
        <v>10</v>
      </c>
      <c r="I4" s="155"/>
      <c r="J4" s="32">
        <v>11</v>
      </c>
      <c r="K4" s="32">
        <v>11</v>
      </c>
      <c r="L4" s="32"/>
      <c r="V4" s="9"/>
      <c r="W4" s="9"/>
      <c r="X4" s="9"/>
      <c r="Y4" s="9"/>
      <c r="Z4" s="9"/>
      <c r="AA4" s="9"/>
      <c r="AB4" s="9"/>
    </row>
    <row r="5" spans="1:29" ht="28.5" customHeight="1" x14ac:dyDescent="0.2">
      <c r="A5" s="84">
        <v>1</v>
      </c>
      <c r="B5" s="85" t="s">
        <v>21</v>
      </c>
      <c r="C5" s="86">
        <v>14.534000000000001</v>
      </c>
      <c r="D5" s="86">
        <v>101.733</v>
      </c>
      <c r="E5" s="85" t="s">
        <v>46</v>
      </c>
      <c r="F5" s="410" t="s">
        <v>38</v>
      </c>
      <c r="G5" s="37" t="s">
        <v>42</v>
      </c>
      <c r="H5" s="160" t="s">
        <v>10</v>
      </c>
      <c r="I5" s="157">
        <v>166221.071</v>
      </c>
      <c r="J5" s="157">
        <f>132754.14566-1542.629</f>
        <v>131211.51666000002</v>
      </c>
      <c r="K5" s="39">
        <f>I5-J5</f>
        <v>35009.554339999973</v>
      </c>
      <c r="L5" s="214"/>
      <c r="V5" s="9" t="s">
        <v>230</v>
      </c>
      <c r="W5" s="9"/>
      <c r="X5" s="9"/>
      <c r="Y5" s="9"/>
      <c r="Z5" s="9"/>
      <c r="AA5" s="9"/>
      <c r="AB5" s="9"/>
    </row>
    <row r="6" spans="1:29" ht="40.5" customHeight="1" x14ac:dyDescent="0.2">
      <c r="A6" s="87">
        <v>2</v>
      </c>
      <c r="B6" s="153" t="s">
        <v>22</v>
      </c>
      <c r="C6" s="154">
        <v>3.34</v>
      </c>
      <c r="D6" s="154">
        <v>21.001000000000001</v>
      </c>
      <c r="E6" s="153" t="s">
        <v>7</v>
      </c>
      <c r="F6" s="411"/>
      <c r="G6" s="30" t="s">
        <v>16</v>
      </c>
      <c r="H6" s="119" t="s">
        <v>10</v>
      </c>
      <c r="I6" s="117">
        <v>31986.367999999999</v>
      </c>
      <c r="J6" s="117">
        <v>25546.237499999999</v>
      </c>
      <c r="K6" s="40">
        <f t="shared" ref="K6:K9" si="0">I6-J6</f>
        <v>6440.1304999999993</v>
      </c>
      <c r="L6" s="13"/>
      <c r="V6" s="9" t="s">
        <v>230</v>
      </c>
      <c r="W6" s="9"/>
      <c r="X6" s="9"/>
      <c r="Y6" s="9"/>
      <c r="Z6" s="9"/>
      <c r="AA6" s="9"/>
      <c r="AB6" s="9"/>
    </row>
    <row r="7" spans="1:29" ht="25.5" customHeight="1" x14ac:dyDescent="0.2">
      <c r="A7" s="87">
        <v>3</v>
      </c>
      <c r="B7" s="153" t="s">
        <v>23</v>
      </c>
      <c r="C7" s="154">
        <v>2.7829999999999999</v>
      </c>
      <c r="D7" s="154">
        <v>18.663</v>
      </c>
      <c r="E7" s="153" t="s">
        <v>46</v>
      </c>
      <c r="F7" s="411"/>
      <c r="G7" s="30" t="s">
        <v>16</v>
      </c>
      <c r="H7" s="119" t="s">
        <v>10</v>
      </c>
      <c r="I7" s="117">
        <v>29113.867999999999</v>
      </c>
      <c r="J7" s="226">
        <f>23252.08621+1542.629</f>
        <v>24794.715210000002</v>
      </c>
      <c r="K7" s="40">
        <f t="shared" si="0"/>
        <v>4319.1527899999965</v>
      </c>
      <c r="L7" s="231">
        <v>44342</v>
      </c>
      <c r="V7" s="9" t="s">
        <v>230</v>
      </c>
      <c r="W7" s="9"/>
      <c r="X7" s="9"/>
      <c r="Y7" s="9"/>
      <c r="Z7" s="9"/>
      <c r="AA7" s="9"/>
      <c r="AB7" s="9"/>
    </row>
    <row r="8" spans="1:29" ht="38.25" customHeight="1" x14ac:dyDescent="0.2">
      <c r="A8" s="87">
        <v>4</v>
      </c>
      <c r="B8" s="153" t="s">
        <v>24</v>
      </c>
      <c r="C8" s="154">
        <v>2.36</v>
      </c>
      <c r="D8" s="154">
        <v>15.103999999999999</v>
      </c>
      <c r="E8" s="153" t="s">
        <v>7</v>
      </c>
      <c r="F8" s="411"/>
      <c r="G8" s="30" t="s">
        <v>19</v>
      </c>
      <c r="H8" s="119" t="s">
        <v>10</v>
      </c>
      <c r="I8" s="117">
        <v>23018.71</v>
      </c>
      <c r="J8" s="117">
        <v>18384.126400000001</v>
      </c>
      <c r="K8" s="40">
        <f t="shared" si="0"/>
        <v>4634.5835999999981</v>
      </c>
      <c r="L8" s="13"/>
      <c r="V8" s="9" t="s">
        <v>230</v>
      </c>
      <c r="W8" s="9"/>
      <c r="X8" s="9"/>
      <c r="Y8" s="9"/>
      <c r="Z8" s="9"/>
      <c r="AA8" s="9"/>
      <c r="AB8" s="9"/>
    </row>
    <row r="9" spans="1:29" ht="42" customHeight="1" thickBot="1" x14ac:dyDescent="0.25">
      <c r="A9" s="90">
        <v>5</v>
      </c>
      <c r="B9" s="91" t="s">
        <v>25</v>
      </c>
      <c r="C9" s="92">
        <v>6.6929999999999996</v>
      </c>
      <c r="D9" s="92">
        <v>40.56</v>
      </c>
      <c r="E9" s="91" t="s">
        <v>7</v>
      </c>
      <c r="F9" s="412"/>
      <c r="G9" s="41" t="s">
        <v>16</v>
      </c>
      <c r="H9" s="161" t="s">
        <v>10</v>
      </c>
      <c r="I9" s="158">
        <v>62559.029860000002</v>
      </c>
      <c r="J9" s="158">
        <v>49963.40423</v>
      </c>
      <c r="K9" s="43">
        <f t="shared" si="0"/>
        <v>12595.625630000002</v>
      </c>
      <c r="L9" s="215"/>
      <c r="M9" s="136">
        <f>K5+K6+K7+K8+K9</f>
        <v>62999.046859999966</v>
      </c>
      <c r="N9" s="175">
        <f>J5+J6+J7+J8+J9</f>
        <v>249900</v>
      </c>
      <c r="O9" s="175">
        <f>I5+I6+I7+I8+I9</f>
        <v>312899.04685999994</v>
      </c>
      <c r="V9" s="9" t="s">
        <v>230</v>
      </c>
      <c r="W9" s="9"/>
      <c r="X9" s="9"/>
      <c r="Y9" s="9"/>
      <c r="Z9" s="9"/>
      <c r="AA9" s="9"/>
      <c r="AB9" s="9"/>
    </row>
    <row r="10" spans="1:29" s="180" customFormat="1" ht="18" customHeight="1" thickBot="1" x14ac:dyDescent="0.25">
      <c r="A10" s="176"/>
      <c r="B10" s="182" t="s">
        <v>184</v>
      </c>
      <c r="C10" s="181">
        <f>SUM(C5:C9)</f>
        <v>29.71</v>
      </c>
      <c r="D10" s="177">
        <f t="shared" ref="D10:K10" si="1">SUM(D5:D9)</f>
        <v>197.06100000000004</v>
      </c>
      <c r="E10" s="177"/>
      <c r="F10" s="177"/>
      <c r="G10" s="177"/>
      <c r="H10" s="177"/>
      <c r="I10" s="203">
        <f t="shared" si="1"/>
        <v>312899.04685999994</v>
      </c>
      <c r="J10" s="203">
        <f t="shared" si="1"/>
        <v>249900</v>
      </c>
      <c r="K10" s="203">
        <f t="shared" si="1"/>
        <v>62999.046859999966</v>
      </c>
      <c r="L10" s="232"/>
      <c r="M10" s="178"/>
      <c r="N10" s="179"/>
      <c r="O10" s="179"/>
      <c r="V10" s="314"/>
      <c r="W10" s="314"/>
      <c r="X10" s="314"/>
      <c r="Y10" s="314"/>
      <c r="Z10" s="314"/>
      <c r="AA10" s="314"/>
      <c r="AB10" s="314"/>
      <c r="AC10" s="313"/>
    </row>
    <row r="11" spans="1:29" ht="20.25" customHeight="1" x14ac:dyDescent="0.2">
      <c r="A11" s="393">
        <v>6</v>
      </c>
      <c r="B11" s="395" t="s">
        <v>26</v>
      </c>
      <c r="C11" s="397">
        <v>6.3</v>
      </c>
      <c r="D11" s="397">
        <v>42.21</v>
      </c>
      <c r="E11" s="395" t="s">
        <v>7</v>
      </c>
      <c r="F11" s="413" t="s">
        <v>39</v>
      </c>
      <c r="G11" s="45" t="s">
        <v>14</v>
      </c>
      <c r="H11" s="160" t="s">
        <v>10</v>
      </c>
      <c r="I11" s="157">
        <v>38238.735000000001</v>
      </c>
      <c r="J11" s="228">
        <v>27168.171999999999</v>
      </c>
      <c r="K11" s="39">
        <f>I11-J11</f>
        <v>11070.563000000002</v>
      </c>
      <c r="L11" s="402">
        <v>44351</v>
      </c>
      <c r="V11" s="420" t="s">
        <v>230</v>
      </c>
      <c r="W11" s="420"/>
      <c r="X11" s="420"/>
      <c r="Y11" s="420"/>
      <c r="Z11" s="420"/>
      <c r="AA11" s="420"/>
      <c r="AB11" s="420"/>
    </row>
    <row r="12" spans="1:29" ht="19.5" customHeight="1" x14ac:dyDescent="0.2">
      <c r="A12" s="394"/>
      <c r="B12" s="396"/>
      <c r="C12" s="398"/>
      <c r="D12" s="398"/>
      <c r="E12" s="396"/>
      <c r="F12" s="414"/>
      <c r="G12" s="31" t="s">
        <v>14</v>
      </c>
      <c r="H12" s="118" t="s">
        <v>11</v>
      </c>
      <c r="I12" s="117">
        <v>27598.314999999999</v>
      </c>
      <c r="J12" s="226">
        <v>19608.278999999999</v>
      </c>
      <c r="K12" s="40">
        <f t="shared" ref="K12:K30" si="2">I12-J12</f>
        <v>7990.0360000000001</v>
      </c>
      <c r="L12" s="403"/>
      <c r="V12" s="421"/>
      <c r="W12" s="421"/>
      <c r="X12" s="421"/>
      <c r="Y12" s="421"/>
      <c r="Z12" s="421"/>
      <c r="AA12" s="421"/>
      <c r="AB12" s="421"/>
    </row>
    <row r="13" spans="1:29" ht="31.5" customHeight="1" x14ac:dyDescent="0.2">
      <c r="A13" s="93">
        <v>7</v>
      </c>
      <c r="B13" s="94" t="s">
        <v>27</v>
      </c>
      <c r="C13" s="95">
        <v>4.0529999999999999</v>
      </c>
      <c r="D13" s="95">
        <v>25.6</v>
      </c>
      <c r="E13" s="94" t="s">
        <v>46</v>
      </c>
      <c r="F13" s="414"/>
      <c r="G13" s="30" t="s">
        <v>16</v>
      </c>
      <c r="H13" s="118" t="s">
        <v>11</v>
      </c>
      <c r="I13" s="117">
        <v>38156.769</v>
      </c>
      <c r="J13" s="236">
        <v>27109.936000000002</v>
      </c>
      <c r="K13" s="40">
        <f t="shared" si="2"/>
        <v>11046.832999999999</v>
      </c>
      <c r="L13" s="13"/>
      <c r="V13" s="9" t="s">
        <v>231</v>
      </c>
      <c r="W13" s="9"/>
      <c r="X13" s="9"/>
      <c r="Y13" s="9"/>
      <c r="Z13" s="9"/>
      <c r="AA13" s="9"/>
      <c r="AB13" s="9"/>
    </row>
    <row r="14" spans="1:29" ht="27.75" customHeight="1" x14ac:dyDescent="0.2">
      <c r="A14" s="93">
        <v>8</v>
      </c>
      <c r="B14" s="94" t="s">
        <v>188</v>
      </c>
      <c r="C14" s="95">
        <v>1.93</v>
      </c>
      <c r="D14" s="95">
        <v>14.566000000000001</v>
      </c>
      <c r="E14" s="94" t="s">
        <v>7</v>
      </c>
      <c r="F14" s="414"/>
      <c r="G14" s="30" t="s">
        <v>14</v>
      </c>
      <c r="H14" s="118" t="s">
        <v>11</v>
      </c>
      <c r="I14" s="117">
        <v>23692.947</v>
      </c>
      <c r="J14" s="226">
        <v>16833.560000000001</v>
      </c>
      <c r="K14" s="40">
        <f t="shared" si="2"/>
        <v>6859.3869999999988</v>
      </c>
      <c r="L14" s="231">
        <v>44337</v>
      </c>
      <c r="V14" s="9" t="s">
        <v>229</v>
      </c>
      <c r="W14" s="9"/>
      <c r="X14" s="9"/>
      <c r="Y14" s="9"/>
      <c r="Z14" s="9"/>
      <c r="AA14" s="9"/>
      <c r="AB14" s="9"/>
    </row>
    <row r="15" spans="1:29" ht="29.25" customHeight="1" x14ac:dyDescent="0.2">
      <c r="A15" s="93">
        <v>9</v>
      </c>
      <c r="B15" s="94" t="s">
        <v>28</v>
      </c>
      <c r="C15" s="95">
        <v>5.0149999999999997</v>
      </c>
      <c r="D15" s="95">
        <v>34.514000000000003</v>
      </c>
      <c r="E15" s="94" t="s">
        <v>7</v>
      </c>
      <c r="F15" s="414"/>
      <c r="G15" s="30" t="s">
        <v>16</v>
      </c>
      <c r="H15" s="118" t="s">
        <v>11</v>
      </c>
      <c r="I15" s="117">
        <v>52302.366999999998</v>
      </c>
      <c r="J15" s="236">
        <v>37160.216999999997</v>
      </c>
      <c r="K15" s="40">
        <f t="shared" si="2"/>
        <v>15142.150000000001</v>
      </c>
      <c r="L15" s="13"/>
      <c r="V15" s="9" t="s">
        <v>230</v>
      </c>
      <c r="W15" s="9"/>
      <c r="X15" s="9"/>
      <c r="Y15" s="9"/>
      <c r="Z15" s="9"/>
      <c r="AA15" s="9"/>
      <c r="AB15" s="9"/>
    </row>
    <row r="16" spans="1:29" ht="27.75" customHeight="1" x14ac:dyDescent="0.2">
      <c r="A16" s="93">
        <v>10</v>
      </c>
      <c r="B16" s="94" t="s">
        <v>29</v>
      </c>
      <c r="C16" s="95">
        <v>0.74</v>
      </c>
      <c r="D16" s="95">
        <v>3.33</v>
      </c>
      <c r="E16" s="94" t="s">
        <v>7</v>
      </c>
      <c r="F16" s="414"/>
      <c r="G16" s="30" t="s">
        <v>15</v>
      </c>
      <c r="H16" s="118" t="s">
        <v>11</v>
      </c>
      <c r="I16" s="117">
        <v>4895.6540000000005</v>
      </c>
      <c r="J16" s="226">
        <v>3478.3049999999998</v>
      </c>
      <c r="K16" s="40">
        <f t="shared" si="2"/>
        <v>1417.3490000000006</v>
      </c>
      <c r="L16" s="231">
        <v>44337</v>
      </c>
      <c r="V16" s="9" t="s">
        <v>231</v>
      </c>
      <c r="W16" s="9"/>
      <c r="X16" s="9"/>
      <c r="Y16" s="9"/>
      <c r="Z16" s="9"/>
      <c r="AA16" s="9"/>
      <c r="AB16" s="9"/>
    </row>
    <row r="17" spans="1:29" ht="30" customHeight="1" x14ac:dyDescent="0.2">
      <c r="A17" s="93">
        <v>11</v>
      </c>
      <c r="B17" s="94" t="s">
        <v>30</v>
      </c>
      <c r="C17" s="95">
        <v>3.742</v>
      </c>
      <c r="D17" s="95">
        <v>27.632000000000001</v>
      </c>
      <c r="E17" s="94" t="s">
        <v>46</v>
      </c>
      <c r="F17" s="414"/>
      <c r="G17" s="30" t="s">
        <v>16</v>
      </c>
      <c r="H17" s="118" t="s">
        <v>11</v>
      </c>
      <c r="I17" s="117">
        <v>42541.798000000003</v>
      </c>
      <c r="J17" s="117">
        <v>30225.448</v>
      </c>
      <c r="K17" s="40">
        <f t="shared" si="2"/>
        <v>12316.350000000002</v>
      </c>
      <c r="L17" s="13"/>
      <c r="V17" s="9" t="s">
        <v>230</v>
      </c>
      <c r="W17" s="9"/>
      <c r="X17" s="9"/>
      <c r="Y17" s="9"/>
      <c r="Z17" s="9"/>
      <c r="AA17" s="9"/>
      <c r="AB17" s="9"/>
    </row>
    <row r="18" spans="1:29" ht="33" customHeight="1" x14ac:dyDescent="0.2">
      <c r="A18" s="93">
        <v>12</v>
      </c>
      <c r="B18" s="94" t="s">
        <v>31</v>
      </c>
      <c r="C18" s="95">
        <v>3.6560000000000001</v>
      </c>
      <c r="D18" s="95">
        <v>25.53</v>
      </c>
      <c r="E18" s="94" t="s">
        <v>7</v>
      </c>
      <c r="F18" s="414"/>
      <c r="G18" s="30" t="s">
        <v>16</v>
      </c>
      <c r="H18" s="118" t="s">
        <v>11</v>
      </c>
      <c r="I18" s="117">
        <v>35459.300000000003</v>
      </c>
      <c r="J18" s="117">
        <v>25193.416000000001</v>
      </c>
      <c r="K18" s="40">
        <f t="shared" si="2"/>
        <v>10265.884000000002</v>
      </c>
      <c r="L18" s="13"/>
      <c r="V18" s="9" t="s">
        <v>230</v>
      </c>
      <c r="W18" s="9"/>
      <c r="X18" s="9"/>
      <c r="Y18" s="9"/>
      <c r="Z18" s="9"/>
      <c r="AA18" s="9"/>
      <c r="AB18" s="9"/>
    </row>
    <row r="19" spans="1:29" ht="28.5" customHeight="1" x14ac:dyDescent="0.2">
      <c r="A19" s="93">
        <v>13</v>
      </c>
      <c r="B19" s="94" t="s">
        <v>32</v>
      </c>
      <c r="C19" s="95">
        <v>2.4780000000000002</v>
      </c>
      <c r="D19" s="95">
        <v>18.015999999999998</v>
      </c>
      <c r="E19" s="94" t="s">
        <v>46</v>
      </c>
      <c r="F19" s="414"/>
      <c r="G19" s="31" t="s">
        <v>15</v>
      </c>
      <c r="H19" s="118" t="s">
        <v>11</v>
      </c>
      <c r="I19" s="117">
        <v>26430.111000000001</v>
      </c>
      <c r="J19" s="226">
        <v>18778.282999999999</v>
      </c>
      <c r="K19" s="40">
        <f t="shared" si="2"/>
        <v>7651.8280000000013</v>
      </c>
      <c r="L19" s="231">
        <v>44342</v>
      </c>
      <c r="M19" s="136"/>
      <c r="V19" s="9" t="s">
        <v>230</v>
      </c>
      <c r="W19" s="9"/>
      <c r="X19" s="9"/>
      <c r="Y19" s="9"/>
      <c r="Z19" s="9"/>
      <c r="AA19" s="9"/>
      <c r="AB19" s="9"/>
    </row>
    <row r="20" spans="1:29" ht="30" customHeight="1" thickBot="1" x14ac:dyDescent="0.25">
      <c r="A20" s="97">
        <v>14</v>
      </c>
      <c r="B20" s="98" t="s">
        <v>33</v>
      </c>
      <c r="C20" s="99">
        <v>1.712</v>
      </c>
      <c r="D20" s="99">
        <v>12.96</v>
      </c>
      <c r="E20" s="98" t="s">
        <v>7</v>
      </c>
      <c r="F20" s="415"/>
      <c r="G20" s="41" t="s">
        <v>15</v>
      </c>
      <c r="H20" s="162" t="s">
        <v>11</v>
      </c>
      <c r="I20" s="158">
        <v>18922.739000000001</v>
      </c>
      <c r="J20" s="236">
        <v>13444.384</v>
      </c>
      <c r="K20" s="237">
        <f t="shared" si="2"/>
        <v>5478.3550000000014</v>
      </c>
      <c r="L20" s="238">
        <v>44355</v>
      </c>
      <c r="M20" s="136">
        <f>O24+J27</f>
        <v>61992.451999999997</v>
      </c>
      <c r="V20" s="9" t="s">
        <v>230</v>
      </c>
      <c r="W20" s="9"/>
      <c r="X20" s="9"/>
      <c r="Y20" s="9"/>
      <c r="Z20" s="9"/>
      <c r="AA20" s="9"/>
      <c r="AB20" s="9"/>
    </row>
    <row r="21" spans="1:29" s="180" customFormat="1" ht="21" customHeight="1" thickBot="1" x14ac:dyDescent="0.25">
      <c r="A21" s="183"/>
      <c r="B21" s="186" t="s">
        <v>184</v>
      </c>
      <c r="C21" s="184">
        <f>SUM(C11:C20)</f>
        <v>29.625999999999998</v>
      </c>
      <c r="D21" s="184">
        <f t="shared" ref="D21:K21" si="3">SUM(D11:D20)</f>
        <v>204.358</v>
      </c>
      <c r="E21" s="184"/>
      <c r="F21" s="184"/>
      <c r="G21" s="184"/>
      <c r="H21" s="184"/>
      <c r="I21" s="204">
        <f t="shared" si="3"/>
        <v>308238.73499999999</v>
      </c>
      <c r="J21" s="204">
        <f t="shared" si="3"/>
        <v>218999.99999999997</v>
      </c>
      <c r="K21" s="204">
        <f t="shared" si="3"/>
        <v>89238.735000000001</v>
      </c>
      <c r="L21" s="233"/>
      <c r="M21" s="185"/>
      <c r="V21" s="314"/>
      <c r="W21" s="314"/>
      <c r="X21" s="314"/>
      <c r="Y21" s="314"/>
      <c r="Z21" s="314"/>
      <c r="AA21" s="314"/>
      <c r="AB21" s="314"/>
      <c r="AC21" s="313"/>
    </row>
    <row r="22" spans="1:29" ht="26.25" customHeight="1" x14ac:dyDescent="0.2">
      <c r="A22" s="163">
        <v>15</v>
      </c>
      <c r="B22" s="164" t="s">
        <v>34</v>
      </c>
      <c r="C22" s="165">
        <v>1.28</v>
      </c>
      <c r="D22" s="165">
        <v>7.68</v>
      </c>
      <c r="E22" s="164" t="s">
        <v>13</v>
      </c>
      <c r="F22" s="166" t="s">
        <v>40</v>
      </c>
      <c r="G22" s="37" t="s">
        <v>14</v>
      </c>
      <c r="H22" s="160" t="s">
        <v>10</v>
      </c>
      <c r="I22" s="157">
        <v>11522.529</v>
      </c>
      <c r="J22" s="157">
        <v>7374.4182199999996</v>
      </c>
      <c r="K22" s="39">
        <f t="shared" si="2"/>
        <v>4148.1107800000009</v>
      </c>
      <c r="L22" s="214"/>
      <c r="V22" s="9" t="s">
        <v>231</v>
      </c>
      <c r="W22" s="9"/>
      <c r="X22" s="9"/>
      <c r="Y22" s="9"/>
      <c r="Z22" s="9"/>
      <c r="AA22" s="9"/>
      <c r="AB22" s="9"/>
    </row>
    <row r="23" spans="1:29" ht="28.5" customHeight="1" thickBot="1" x14ac:dyDescent="0.25">
      <c r="A23" s="167">
        <v>16</v>
      </c>
      <c r="B23" s="168" t="s">
        <v>35</v>
      </c>
      <c r="C23" s="169">
        <v>1.92</v>
      </c>
      <c r="D23" s="169">
        <v>10.500999999999999</v>
      </c>
      <c r="E23" s="168" t="s">
        <v>8</v>
      </c>
      <c r="F23" s="170" t="s">
        <v>41</v>
      </c>
      <c r="G23" s="171" t="s">
        <v>14</v>
      </c>
      <c r="H23" s="161" t="s">
        <v>10</v>
      </c>
      <c r="I23" s="158">
        <v>16075.786</v>
      </c>
      <c r="J23" s="227">
        <v>11092.292240000001</v>
      </c>
      <c r="K23" s="43">
        <f t="shared" si="2"/>
        <v>4983.4937599999994</v>
      </c>
      <c r="L23" s="234">
        <v>44340</v>
      </c>
      <c r="V23" s="9" t="s">
        <v>231</v>
      </c>
      <c r="W23" s="9"/>
      <c r="X23" s="9"/>
      <c r="Y23" s="9"/>
      <c r="Z23" s="9"/>
      <c r="AA23" s="9"/>
      <c r="AB23" s="9"/>
    </row>
    <row r="24" spans="1:29" ht="19.5" customHeight="1" x14ac:dyDescent="0.2">
      <c r="A24" s="385">
        <v>17</v>
      </c>
      <c r="B24" s="387" t="s">
        <v>43</v>
      </c>
      <c r="C24" s="389">
        <v>5.05</v>
      </c>
      <c r="D24" s="391">
        <v>40.179000000000002</v>
      </c>
      <c r="E24" s="387" t="s">
        <v>13</v>
      </c>
      <c r="F24" s="416" t="s">
        <v>193</v>
      </c>
      <c r="G24" s="45" t="s">
        <v>16</v>
      </c>
      <c r="H24" s="160" t="s">
        <v>10</v>
      </c>
      <c r="I24" s="157">
        <v>33520.404799999997</v>
      </c>
      <c r="J24" s="157">
        <v>27486.516</v>
      </c>
      <c r="K24" s="39">
        <f t="shared" si="2"/>
        <v>6033.888799999997</v>
      </c>
      <c r="L24" s="214"/>
      <c r="M24" s="229">
        <f>J24+J26</f>
        <v>68252.603000000003</v>
      </c>
      <c r="N24" s="230" t="s">
        <v>190</v>
      </c>
      <c r="O24" s="229">
        <v>21397.192999999999</v>
      </c>
      <c r="P24" t="s">
        <v>192</v>
      </c>
      <c r="R24" s="230">
        <f>J24-O24</f>
        <v>6089.3230000000003</v>
      </c>
      <c r="S24" t="s">
        <v>194</v>
      </c>
      <c r="V24" s="420" t="s">
        <v>229</v>
      </c>
      <c r="W24" s="420"/>
      <c r="X24" s="420"/>
      <c r="Y24" s="420"/>
      <c r="Z24" s="420"/>
      <c r="AA24" s="420"/>
      <c r="AB24" s="420"/>
    </row>
    <row r="25" spans="1:29" ht="20.25" customHeight="1" thickBot="1" x14ac:dyDescent="0.25">
      <c r="A25" s="386"/>
      <c r="B25" s="388"/>
      <c r="C25" s="390"/>
      <c r="D25" s="392"/>
      <c r="E25" s="388"/>
      <c r="F25" s="417"/>
      <c r="G25" s="31" t="s">
        <v>16</v>
      </c>
      <c r="H25" s="118" t="s">
        <v>11</v>
      </c>
      <c r="I25" s="117">
        <v>28661.369200000001</v>
      </c>
      <c r="J25" s="236">
        <v>23502.137999999999</v>
      </c>
      <c r="K25" s="237">
        <f t="shared" si="2"/>
        <v>5159.231200000002</v>
      </c>
      <c r="L25" s="238"/>
      <c r="M25" s="229">
        <f>J25+J27</f>
        <v>64097.396999999997</v>
      </c>
      <c r="N25" s="230" t="s">
        <v>191</v>
      </c>
      <c r="O25" s="230"/>
      <c r="R25" s="230">
        <f>J25+R24</f>
        <v>29591.460999999999</v>
      </c>
      <c r="S25" t="s">
        <v>195</v>
      </c>
      <c r="V25" s="421"/>
      <c r="W25" s="421"/>
      <c r="X25" s="421"/>
      <c r="Y25" s="421"/>
      <c r="Z25" s="421"/>
      <c r="AA25" s="421"/>
      <c r="AB25" s="421"/>
    </row>
    <row r="26" spans="1:29" ht="50.25" customHeight="1" x14ac:dyDescent="0.2">
      <c r="A26" s="148">
        <v>18</v>
      </c>
      <c r="B26" s="159" t="s">
        <v>44</v>
      </c>
      <c r="C26" s="149">
        <v>4.93</v>
      </c>
      <c r="D26" s="150">
        <v>32.475000000000001</v>
      </c>
      <c r="E26" s="159" t="s">
        <v>13</v>
      </c>
      <c r="F26" s="417"/>
      <c r="G26" s="31" t="s">
        <v>16</v>
      </c>
      <c r="H26" s="119" t="s">
        <v>10</v>
      </c>
      <c r="I26" s="117">
        <v>49715.130409999998</v>
      </c>
      <c r="J26" s="117">
        <v>40766.087</v>
      </c>
      <c r="K26" s="40">
        <f t="shared" si="2"/>
        <v>8949.0434099999984</v>
      </c>
      <c r="L26" s="13"/>
      <c r="M26" s="136">
        <f>R26</f>
        <v>34505.936000000002</v>
      </c>
      <c r="N26" t="s">
        <v>198</v>
      </c>
      <c r="O26" s="175">
        <f>J26-M26</f>
        <v>6260.150999999998</v>
      </c>
      <c r="P26" t="s">
        <v>200</v>
      </c>
      <c r="R26" s="230">
        <f>M25-R25</f>
        <v>34505.936000000002</v>
      </c>
      <c r="S26" t="s">
        <v>196</v>
      </c>
      <c r="V26" s="9" t="s">
        <v>230</v>
      </c>
      <c r="W26" s="9"/>
      <c r="X26" s="9"/>
      <c r="Y26" s="9"/>
      <c r="Z26" s="9"/>
      <c r="AA26" s="9"/>
      <c r="AB26" s="9"/>
    </row>
    <row r="27" spans="1:29" ht="42.75" customHeight="1" thickBot="1" x14ac:dyDescent="0.25">
      <c r="A27" s="151">
        <v>19</v>
      </c>
      <c r="B27" s="172" t="s">
        <v>45</v>
      </c>
      <c r="C27" s="152">
        <v>4.9340000000000002</v>
      </c>
      <c r="D27" s="152">
        <v>31.934999999999999</v>
      </c>
      <c r="E27" s="172" t="s">
        <v>13</v>
      </c>
      <c r="F27" s="418"/>
      <c r="G27" s="41" t="s">
        <v>16</v>
      </c>
      <c r="H27" s="162" t="s">
        <v>11</v>
      </c>
      <c r="I27" s="158">
        <v>49506.802280000004</v>
      </c>
      <c r="J27" s="158">
        <v>40595.258999999998</v>
      </c>
      <c r="K27" s="43">
        <f t="shared" si="2"/>
        <v>8911.5432800000053</v>
      </c>
      <c r="L27" s="215"/>
      <c r="M27" s="136" t="s">
        <v>197</v>
      </c>
      <c r="O27" s="175">
        <f>O26+O24+J27</f>
        <v>68252.603000000003</v>
      </c>
      <c r="R27" s="230">
        <f>R26+R25</f>
        <v>64097.396999999997</v>
      </c>
      <c r="V27" s="9" t="s">
        <v>230</v>
      </c>
      <c r="W27" s="9"/>
      <c r="X27" s="9"/>
      <c r="Y27" s="9"/>
      <c r="Z27" s="9"/>
      <c r="AA27" s="9"/>
      <c r="AB27" s="9"/>
    </row>
    <row r="28" spans="1:29" s="180" customFormat="1" ht="19.5" customHeight="1" thickBot="1" x14ac:dyDescent="0.25">
      <c r="A28" s="187"/>
      <c r="B28" s="189" t="s">
        <v>184</v>
      </c>
      <c r="C28" s="188">
        <f>SUM(C24:C27)</f>
        <v>14.914000000000001</v>
      </c>
      <c r="D28" s="188">
        <f t="shared" ref="D28:K28" si="4">SUM(D24:D27)</f>
        <v>104.589</v>
      </c>
      <c r="E28" s="188"/>
      <c r="F28" s="188"/>
      <c r="G28" s="188"/>
      <c r="H28" s="188"/>
      <c r="I28" s="205">
        <f t="shared" si="4"/>
        <v>161403.70668999999</v>
      </c>
      <c r="J28" s="205">
        <f t="shared" si="4"/>
        <v>132350</v>
      </c>
      <c r="K28" s="205">
        <f t="shared" si="4"/>
        <v>29053.706690000003</v>
      </c>
      <c r="L28" s="235"/>
      <c r="M28" s="178"/>
      <c r="V28" s="314"/>
      <c r="W28" s="314"/>
      <c r="X28" s="314"/>
      <c r="Y28" s="314"/>
      <c r="Z28" s="314"/>
      <c r="AA28" s="314"/>
      <c r="AB28" s="314"/>
      <c r="AC28" s="313"/>
    </row>
    <row r="29" spans="1:29" ht="19.5" customHeight="1" x14ac:dyDescent="0.2">
      <c r="A29" s="375">
        <v>20</v>
      </c>
      <c r="B29" s="377" t="s">
        <v>187</v>
      </c>
      <c r="C29" s="379">
        <v>2.294</v>
      </c>
      <c r="D29" s="381">
        <v>16.582000000000001</v>
      </c>
      <c r="E29" s="377"/>
      <c r="F29" s="383"/>
      <c r="G29" s="408" t="s">
        <v>19</v>
      </c>
      <c r="H29" s="160" t="s">
        <v>10</v>
      </c>
      <c r="I29" s="157">
        <v>14982.932210000001</v>
      </c>
      <c r="J29" s="157">
        <v>14982.932210000001</v>
      </c>
      <c r="K29" s="39">
        <f t="shared" si="2"/>
        <v>0</v>
      </c>
      <c r="L29" s="214"/>
      <c r="V29" s="420"/>
      <c r="W29" s="420"/>
      <c r="X29" s="420"/>
      <c r="Y29" s="420"/>
      <c r="Z29" s="420"/>
      <c r="AA29" s="420"/>
      <c r="AB29" s="420"/>
    </row>
    <row r="30" spans="1:29" ht="20.25" customHeight="1" thickBot="1" x14ac:dyDescent="0.25">
      <c r="A30" s="376"/>
      <c r="B30" s="378"/>
      <c r="C30" s="380"/>
      <c r="D30" s="382"/>
      <c r="E30" s="378"/>
      <c r="F30" s="384"/>
      <c r="G30" s="409"/>
      <c r="H30" s="162" t="s">
        <v>11</v>
      </c>
      <c r="I30" s="158">
        <v>14070.775</v>
      </c>
      <c r="J30" s="158">
        <v>14070.775</v>
      </c>
      <c r="K30" s="43">
        <f t="shared" si="2"/>
        <v>0</v>
      </c>
      <c r="L30" s="215"/>
      <c r="O30" s="175">
        <f>I31-J31</f>
        <v>0</v>
      </c>
      <c r="V30" s="421"/>
      <c r="W30" s="421"/>
      <c r="X30" s="421"/>
      <c r="Y30" s="421"/>
      <c r="Z30" s="421"/>
      <c r="AA30" s="421"/>
      <c r="AB30" s="421"/>
    </row>
    <row r="31" spans="1:29" ht="30" customHeight="1" thickBot="1" x14ac:dyDescent="0.25">
      <c r="A31" s="48">
        <v>21</v>
      </c>
      <c r="B31" s="49" t="s">
        <v>36</v>
      </c>
      <c r="C31" s="58" t="s">
        <v>37</v>
      </c>
      <c r="D31" s="58" t="s">
        <v>37</v>
      </c>
      <c r="E31" s="58" t="s">
        <v>37</v>
      </c>
      <c r="F31" s="58" t="s">
        <v>37</v>
      </c>
      <c r="G31" s="59"/>
      <c r="H31" s="173" t="s">
        <v>10</v>
      </c>
      <c r="I31" s="174">
        <v>2229.5823299999997</v>
      </c>
      <c r="J31" s="174">
        <f>2263.90314-34.32081</f>
        <v>2229.5823299999997</v>
      </c>
      <c r="K31" s="53">
        <f>I31-J31</f>
        <v>0</v>
      </c>
      <c r="L31" s="50"/>
    </row>
    <row r="32" spans="1:29" x14ac:dyDescent="0.2">
      <c r="A32" s="54"/>
      <c r="B32" s="202" t="s">
        <v>186</v>
      </c>
      <c r="C32" s="201">
        <f>C28+C23+C22+C21+C10+C29</f>
        <v>79.744</v>
      </c>
      <c r="D32" s="201">
        <f>D28+D23+D22+D21+D10+D29</f>
        <v>540.77100000000007</v>
      </c>
      <c r="E32" s="28"/>
      <c r="F32" s="29"/>
      <c r="G32" s="55"/>
      <c r="H32" s="56" t="s">
        <v>20</v>
      </c>
      <c r="I32" s="57"/>
      <c r="J32" s="57">
        <f>J10+J21+J22+J23+J28+J29+J30+J31</f>
        <v>651000</v>
      </c>
      <c r="K32" s="57">
        <f>K10+K21+K22+K23+K28+K29+K30+K31</f>
        <v>190423.09308999995</v>
      </c>
      <c r="L32" s="57"/>
    </row>
    <row r="33" spans="1:13" x14ac:dyDescent="0.2">
      <c r="A33" s="24"/>
      <c r="B33" s="24"/>
      <c r="C33" s="24"/>
      <c r="D33" s="24"/>
      <c r="E33" s="9"/>
      <c r="F33" s="8"/>
      <c r="G33" s="8"/>
      <c r="H33" s="17" t="s">
        <v>10</v>
      </c>
      <c r="I33" s="16"/>
      <c r="J33" s="16">
        <f>J5+J6+J7+J8+J9+J11+J22+J23+J24+J26+J31+J29</f>
        <v>381000</v>
      </c>
      <c r="K33" s="16">
        <f>K5+K6+K7+K8+K9+K11+K22+K23+K24+K26+K31+K29</f>
        <v>98184.146609999967</v>
      </c>
      <c r="L33" s="16"/>
    </row>
    <row r="34" spans="1:13" x14ac:dyDescent="0.2">
      <c r="A34" s="4"/>
      <c r="B34" s="5"/>
      <c r="C34" s="7"/>
      <c r="D34" s="6"/>
      <c r="E34" s="9"/>
      <c r="F34" s="8"/>
      <c r="G34" s="8"/>
      <c r="H34" s="17" t="s">
        <v>11</v>
      </c>
      <c r="I34" s="16"/>
      <c r="J34" s="16">
        <f>J12+J13+J14+J15+J16+J17+J18+J19+J20+J25+J27+J30</f>
        <v>270000</v>
      </c>
      <c r="K34" s="16">
        <f>K12+K13+K14+K15+K16+K17+K18+K19+K20+K25+K27+K30</f>
        <v>92238.946480000013</v>
      </c>
      <c r="L34" s="16"/>
    </row>
    <row r="35" spans="1:13" ht="13.5" thickBot="1" x14ac:dyDescent="0.25">
      <c r="A35" s="4"/>
      <c r="B35" s="5"/>
      <c r="C35" s="7"/>
      <c r="D35" s="64"/>
      <c r="E35" s="21"/>
      <c r="F35" s="19"/>
      <c r="G35" s="19"/>
      <c r="H35" s="20"/>
      <c r="I35" s="16" t="s">
        <v>185</v>
      </c>
      <c r="J35" s="16">
        <f>J33+J34</f>
        <v>651000</v>
      </c>
      <c r="K35" s="16">
        <f>K33+K34</f>
        <v>190423.09308999998</v>
      </c>
      <c r="L35" s="16"/>
      <c r="M35" s="136">
        <f>J24+J25</f>
        <v>50988.653999999995</v>
      </c>
    </row>
    <row r="36" spans="1:13" ht="19.5" customHeight="1" thickBot="1" x14ac:dyDescent="0.25">
      <c r="A36" s="4"/>
      <c r="B36" s="5"/>
      <c r="C36" s="63"/>
      <c r="D36" s="6"/>
      <c r="E36" s="71"/>
      <c r="F36" s="79" t="s">
        <v>18</v>
      </c>
      <c r="G36" s="78" t="s">
        <v>47</v>
      </c>
      <c r="H36" s="190" t="s">
        <v>48</v>
      </c>
      <c r="I36" s="194"/>
      <c r="J36" s="195"/>
      <c r="K36" s="195"/>
      <c r="L36" s="195"/>
    </row>
    <row r="37" spans="1:13" x14ac:dyDescent="0.2">
      <c r="A37" s="4"/>
      <c r="B37" s="2"/>
      <c r="C37" s="26"/>
      <c r="D37" s="65"/>
      <c r="E37" s="65" t="s">
        <v>49</v>
      </c>
      <c r="F37" s="80">
        <f t="shared" ref="F37:F40" si="5">G37+H37</f>
        <v>300</v>
      </c>
      <c r="G37" s="72">
        <v>300</v>
      </c>
      <c r="H37" s="191">
        <v>0</v>
      </c>
      <c r="I37" s="196"/>
      <c r="J37" s="197"/>
      <c r="K37" s="197"/>
      <c r="L37" s="197"/>
    </row>
    <row r="38" spans="1:13" x14ac:dyDescent="0.2">
      <c r="A38" s="4"/>
      <c r="B38" s="2"/>
      <c r="C38" s="26"/>
      <c r="D38" s="65"/>
      <c r="E38" s="65" t="s">
        <v>50</v>
      </c>
      <c r="F38" s="81">
        <f t="shared" si="5"/>
        <v>270</v>
      </c>
      <c r="G38" s="67">
        <v>270</v>
      </c>
      <c r="H38" s="192">
        <v>0</v>
      </c>
      <c r="I38" s="196"/>
      <c r="J38" s="197"/>
      <c r="K38" s="197"/>
      <c r="L38" s="197"/>
    </row>
    <row r="39" spans="1:13" x14ac:dyDescent="0.2">
      <c r="A39" s="4"/>
      <c r="B39" s="2"/>
      <c r="C39" s="26"/>
      <c r="D39" s="65"/>
      <c r="E39" s="65" t="s">
        <v>51</v>
      </c>
      <c r="F39" s="81">
        <f t="shared" si="5"/>
        <v>70</v>
      </c>
      <c r="G39" s="67">
        <v>70</v>
      </c>
      <c r="H39" s="192">
        <v>0</v>
      </c>
      <c r="I39" s="196"/>
      <c r="J39" s="197"/>
      <c r="K39" s="197"/>
      <c r="L39" s="197"/>
    </row>
    <row r="40" spans="1:13" x14ac:dyDescent="0.2">
      <c r="A40" s="4"/>
      <c r="B40" s="225" t="s">
        <v>189</v>
      </c>
      <c r="C40" s="26"/>
      <c r="D40" s="65"/>
      <c r="E40" s="65" t="s">
        <v>52</v>
      </c>
      <c r="F40" s="81">
        <f t="shared" si="5"/>
        <v>50</v>
      </c>
      <c r="G40" s="67">
        <v>50</v>
      </c>
      <c r="H40" s="192">
        <v>0</v>
      </c>
      <c r="I40" s="196"/>
      <c r="J40" s="197">
        <f>J11+J23</f>
        <v>38260.464240000001</v>
      </c>
      <c r="K40" s="197"/>
      <c r="L40" s="197"/>
    </row>
    <row r="41" spans="1:13" x14ac:dyDescent="0.2">
      <c r="A41" s="4"/>
      <c r="B41" s="2"/>
      <c r="C41" s="26"/>
      <c r="D41" s="65"/>
      <c r="E41" s="65" t="s">
        <v>14</v>
      </c>
      <c r="F41" s="82">
        <f>G41+H41</f>
        <v>147882.47978999998</v>
      </c>
      <c r="G41" s="66">
        <f>J5/2+J11+J22+J23+200</f>
        <v>111440.64078999999</v>
      </c>
      <c r="H41" s="192">
        <f>J12+J14</f>
        <v>36441.839</v>
      </c>
      <c r="I41" s="196"/>
      <c r="J41" s="197"/>
      <c r="K41" s="197"/>
      <c r="L41" s="197"/>
    </row>
    <row r="42" spans="1:13" x14ac:dyDescent="0.2">
      <c r="A42" s="4"/>
      <c r="B42" s="2"/>
      <c r="C42" s="26"/>
      <c r="D42" s="65"/>
      <c r="E42" s="65" t="s">
        <v>15</v>
      </c>
      <c r="F42" s="82">
        <f t="shared" ref="F42:F48" si="6">G42+H42</f>
        <v>101606.73033000002</v>
      </c>
      <c r="G42" s="66">
        <f>J5/2+300</f>
        <v>65905.758330000011</v>
      </c>
      <c r="H42" s="192">
        <f>J16+J19+J20</f>
        <v>35700.972000000002</v>
      </c>
      <c r="I42" s="196"/>
      <c r="J42" s="197"/>
      <c r="K42" s="197"/>
      <c r="L42" s="197"/>
    </row>
    <row r="43" spans="1:13" x14ac:dyDescent="0.2">
      <c r="A43" s="4"/>
      <c r="B43" s="2"/>
      <c r="C43" s="26"/>
      <c r="D43" s="65"/>
      <c r="E43" s="65" t="s">
        <v>16</v>
      </c>
      <c r="F43" s="82">
        <f t="shared" si="6"/>
        <v>352493.37393999996</v>
      </c>
      <c r="G43" s="66">
        <f>J6+J7+J9+150+J24+J26</f>
        <v>168706.95994</v>
      </c>
      <c r="H43" s="192">
        <f>J13+J15+J25+J27+J17+J18</f>
        <v>183786.41399999999</v>
      </c>
      <c r="I43" s="196"/>
      <c r="J43" s="197"/>
      <c r="K43" s="197"/>
      <c r="L43" s="197"/>
    </row>
    <row r="44" spans="1:13" x14ac:dyDescent="0.2">
      <c r="A44" s="4"/>
      <c r="B44" s="2"/>
      <c r="C44" s="26"/>
      <c r="D44" s="65"/>
      <c r="E44" s="65" t="s">
        <v>19</v>
      </c>
      <c r="F44" s="82">
        <f t="shared" si="6"/>
        <v>47477.833610000001</v>
      </c>
      <c r="G44" s="66">
        <f>J8+40+J29</f>
        <v>33407.05861</v>
      </c>
      <c r="H44" s="192">
        <f>J30</f>
        <v>14070.775</v>
      </c>
      <c r="I44" s="196"/>
      <c r="J44" s="197"/>
      <c r="K44" s="197"/>
      <c r="L44" s="197"/>
    </row>
    <row r="45" spans="1:13" x14ac:dyDescent="0.2">
      <c r="A45" s="4"/>
      <c r="B45" s="2"/>
      <c r="C45" s="26"/>
      <c r="D45" s="65"/>
      <c r="E45" s="65" t="s">
        <v>17</v>
      </c>
      <c r="F45" s="82">
        <f t="shared" si="6"/>
        <v>215.68233000000001</v>
      </c>
      <c r="G45" s="66">
        <f>250-34.31767</f>
        <v>215.68233000000001</v>
      </c>
      <c r="H45" s="192">
        <v>0</v>
      </c>
      <c r="I45" s="196"/>
      <c r="J45" s="197"/>
      <c r="K45" s="197"/>
      <c r="L45" s="197"/>
    </row>
    <row r="46" spans="1:13" x14ac:dyDescent="0.2">
      <c r="A46" s="4"/>
      <c r="B46" s="2"/>
      <c r="C46" s="26"/>
      <c r="D46" s="65"/>
      <c r="E46" s="65" t="s">
        <v>53</v>
      </c>
      <c r="F46" s="81">
        <f t="shared" si="6"/>
        <v>200</v>
      </c>
      <c r="G46" s="67">
        <v>200</v>
      </c>
      <c r="H46" s="192">
        <v>0</v>
      </c>
      <c r="I46" s="196"/>
      <c r="J46" s="197"/>
      <c r="K46" s="197"/>
      <c r="L46" s="197"/>
    </row>
    <row r="47" spans="1:13" x14ac:dyDescent="0.2">
      <c r="A47" s="4"/>
      <c r="B47" s="2"/>
      <c r="C47" s="26"/>
      <c r="D47" s="65"/>
      <c r="E47" s="65" t="s">
        <v>54</v>
      </c>
      <c r="F47" s="81">
        <f t="shared" si="6"/>
        <v>183.9</v>
      </c>
      <c r="G47" s="67">
        <v>183.9</v>
      </c>
      <c r="H47" s="192">
        <v>0</v>
      </c>
      <c r="I47" s="196"/>
      <c r="J47" s="197"/>
      <c r="K47" s="197"/>
      <c r="L47" s="197"/>
    </row>
    <row r="48" spans="1:13" x14ac:dyDescent="0.2">
      <c r="A48" s="4"/>
      <c r="B48" s="2"/>
      <c r="C48" s="26"/>
      <c r="D48" s="65"/>
      <c r="E48" s="65" t="s">
        <v>55</v>
      </c>
      <c r="F48" s="81">
        <f t="shared" si="6"/>
        <v>250</v>
      </c>
      <c r="G48" s="67">
        <v>250</v>
      </c>
      <c r="H48" s="192">
        <v>0</v>
      </c>
      <c r="I48" s="196"/>
      <c r="J48" s="197"/>
      <c r="K48" s="197"/>
      <c r="L48" s="197"/>
    </row>
    <row r="49" spans="1:12" x14ac:dyDescent="0.2">
      <c r="A49" s="4"/>
      <c r="B49" s="2"/>
      <c r="C49" s="22"/>
      <c r="D49" s="68"/>
      <c r="E49" s="68" t="s">
        <v>18</v>
      </c>
      <c r="F49" s="83">
        <f>F37+F38+F39+F40+F41+F42+F43+F44+F45+F46+F47+F48</f>
        <v>651000</v>
      </c>
      <c r="G49" s="69">
        <f t="shared" ref="G49:H49" si="7">G37+G38+G39+G40+G41+G42+G43+G44+G45+G46+G47+G48</f>
        <v>381000.00000000006</v>
      </c>
      <c r="H49" s="193">
        <f t="shared" si="7"/>
        <v>270000</v>
      </c>
      <c r="I49" s="198"/>
      <c r="J49" s="199"/>
      <c r="K49" s="199"/>
      <c r="L49" s="199"/>
    </row>
    <row r="50" spans="1:12" ht="13.5" thickBot="1" x14ac:dyDescent="0.25">
      <c r="A50" s="4"/>
      <c r="B50" s="2"/>
      <c r="C50" s="2"/>
      <c r="D50" s="23"/>
      <c r="E50" s="406"/>
      <c r="F50" s="407"/>
      <c r="G50" s="404">
        <f>G49+H49</f>
        <v>651000</v>
      </c>
      <c r="H50" s="405"/>
      <c r="I50" s="200"/>
      <c r="J50" s="199"/>
      <c r="K50" s="199"/>
      <c r="L50" s="199"/>
    </row>
    <row r="51" spans="1:12" x14ac:dyDescent="0.2">
      <c r="E51" s="61"/>
      <c r="F51" s="62"/>
      <c r="G51" s="60">
        <f>G50-J32</f>
        <v>0</v>
      </c>
      <c r="H51" s="60"/>
      <c r="I51" s="60"/>
    </row>
    <row r="63" spans="1:12" ht="102" x14ac:dyDescent="0.2">
      <c r="B63" s="5" t="s">
        <v>56</v>
      </c>
      <c r="C63" s="63">
        <v>14.914000000000001</v>
      </c>
      <c r="D63" s="6">
        <v>104.589</v>
      </c>
    </row>
  </sheetData>
  <autoFilter ref="A4:J4" xr:uid="{00000000-0009-0000-0000-000000000000}"/>
  <mergeCells count="60">
    <mergeCell ref="AA24:AA25"/>
    <mergeCell ref="AB24:AB25"/>
    <mergeCell ref="V29:V30"/>
    <mergeCell ref="W29:W30"/>
    <mergeCell ref="X29:X30"/>
    <mergeCell ref="Y29:Y30"/>
    <mergeCell ref="Z29:Z30"/>
    <mergeCell ref="AA29:AA30"/>
    <mergeCell ref="AB29:AB30"/>
    <mergeCell ref="V24:V25"/>
    <mergeCell ref="W24:W25"/>
    <mergeCell ref="X24:X25"/>
    <mergeCell ref="Y24:Y25"/>
    <mergeCell ref="Z24:Z25"/>
    <mergeCell ref="V2:V3"/>
    <mergeCell ref="W2:Y2"/>
    <mergeCell ref="Z2:AB2"/>
    <mergeCell ref="V11:V12"/>
    <mergeCell ref="W11:W12"/>
    <mergeCell ref="X11:X12"/>
    <mergeCell ref="Y11:Y12"/>
    <mergeCell ref="Z11:Z12"/>
    <mergeCell ref="AA11:AA12"/>
    <mergeCell ref="AB11:AB12"/>
    <mergeCell ref="L2:L3"/>
    <mergeCell ref="L11:L12"/>
    <mergeCell ref="K2:K3"/>
    <mergeCell ref="G50:H50"/>
    <mergeCell ref="E50:F50"/>
    <mergeCell ref="H2:H3"/>
    <mergeCell ref="E24:E25"/>
    <mergeCell ref="G29:G30"/>
    <mergeCell ref="E11:E12"/>
    <mergeCell ref="F5:F9"/>
    <mergeCell ref="F11:F20"/>
    <mergeCell ref="J2:J3"/>
    <mergeCell ref="F24:F27"/>
    <mergeCell ref="A1:J1"/>
    <mergeCell ref="C2:C3"/>
    <mergeCell ref="B2:B3"/>
    <mergeCell ref="A2:A3"/>
    <mergeCell ref="D2:D3"/>
    <mergeCell ref="E2:E3"/>
    <mergeCell ref="F2:F3"/>
    <mergeCell ref="G2:G3"/>
    <mergeCell ref="I2:I3"/>
    <mergeCell ref="A24:A25"/>
    <mergeCell ref="B24:B25"/>
    <mergeCell ref="C24:C25"/>
    <mergeCell ref="D24:D25"/>
    <mergeCell ref="A11:A12"/>
    <mergeCell ref="B11:B12"/>
    <mergeCell ref="C11:C12"/>
    <mergeCell ref="D11:D12"/>
    <mergeCell ref="A29:A30"/>
    <mergeCell ref="B29:B30"/>
    <mergeCell ref="C29:C30"/>
    <mergeCell ref="D29:D30"/>
    <mergeCell ref="F29:F30"/>
    <mergeCell ref="E29:E30"/>
  </mergeCells>
  <phoneticPr fontId="23" type="noConversion"/>
  <conditionalFormatting sqref="B5:B11 B13:B24 B26:B28 B31">
    <cfRule type="expression" dxfId="95" priority="13">
      <formula>#REF!="отказ собственников"</formula>
    </cfRule>
    <cfRule type="expression" dxfId="94" priority="14">
      <formula>#REF!="оплачено"</formula>
    </cfRule>
    <cfRule type="expression" dxfId="93" priority="15">
      <formula>#REF!="согласование ПСД"</formula>
    </cfRule>
    <cfRule type="expression" dxfId="92" priority="16">
      <formula>#REF!="подготовка к торгам"</formula>
    </cfRule>
    <cfRule type="expression" dxfId="91" priority="17">
      <formula>#REF!="на торгах"</formula>
    </cfRule>
    <cfRule type="expression" dxfId="90" priority="18">
      <formula>#REF!="СМР"</formula>
    </cfRule>
  </conditionalFormatting>
  <conditionalFormatting sqref="B29">
    <cfRule type="expression" dxfId="89" priority="1">
      <formula>#REF!="отказ собственников"</formula>
    </cfRule>
    <cfRule type="expression" dxfId="88" priority="2">
      <formula>#REF!="оплачено"</formula>
    </cfRule>
    <cfRule type="expression" dxfId="87" priority="3">
      <formula>#REF!="согласование ПСД"</formula>
    </cfRule>
    <cfRule type="expression" dxfId="86" priority="4">
      <formula>#REF!="подготовка к торгам"</formula>
    </cfRule>
    <cfRule type="expression" dxfId="85" priority="5">
      <formula>#REF!="на торгах"</formula>
    </cfRule>
    <cfRule type="expression" dxfId="84" priority="6">
      <formula>#REF!="СМР"</formula>
    </cfRule>
  </conditionalFormatting>
  <printOptions horizontalCentered="1"/>
  <pageMargins left="0.19685039370078741" right="0.19685039370078741" top="0.39370078740157483" bottom="0.47244094488188981" header="0.31496062992125984" footer="0.31496062992125984"/>
  <pageSetup paperSize="9" scale="79" fitToHeight="40" orientation="landscape" horizontalDpi="4294967295" verticalDpi="4294967295" r:id="rId1"/>
  <headerFooter>
    <oddFooter>&amp;L&amp;P</oddFooter>
  </headerFooter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4"/>
  <sheetViews>
    <sheetView view="pageBreakPreview" topLeftCell="A22" zoomScale="75" zoomScaleNormal="75" zoomScaleSheetLayoutView="75" workbookViewId="0">
      <selection activeCell="N35" sqref="A2:N35"/>
    </sheetView>
  </sheetViews>
  <sheetFormatPr defaultRowHeight="12.75" outlineLevelRow="1" x14ac:dyDescent="0.2"/>
  <cols>
    <col min="1" max="1" width="4.5703125" style="3" customWidth="1"/>
    <col min="2" max="2" width="48.85546875" customWidth="1"/>
    <col min="3" max="3" width="18.42578125" customWidth="1"/>
    <col min="4" max="4" width="13.5703125" customWidth="1"/>
    <col min="5" max="5" width="10" customWidth="1"/>
    <col min="6" max="6" width="16.5703125" style="10" customWidth="1"/>
    <col min="7" max="7" width="14.85546875" style="1" customWidth="1"/>
    <col min="8" max="8" width="14.5703125" style="11" customWidth="1"/>
    <col min="9" max="9" width="13.7109375" style="11" customWidth="1"/>
    <col min="10" max="10" width="15.28515625" style="11" customWidth="1"/>
    <col min="11" max="14" width="17.7109375" style="1" customWidth="1"/>
    <col min="15" max="15" width="17.7109375" style="62" customWidth="1"/>
    <col min="16" max="16" width="15.5703125" style="105" customWidth="1"/>
    <col min="17" max="17" width="14.28515625" customWidth="1"/>
    <col min="18" max="18" width="17.5703125" customWidth="1"/>
    <col min="19" max="20" width="9.140625" customWidth="1"/>
    <col min="21" max="21" width="12" customWidth="1"/>
    <col min="22" max="22" width="9.140625" customWidth="1"/>
    <col min="23" max="23" width="13.85546875" bestFit="1" customWidth="1"/>
    <col min="28" max="28" width="15.85546875" style="304" customWidth="1"/>
    <col min="29" max="30" width="15.85546875" customWidth="1"/>
    <col min="31" max="31" width="17.7109375" customWidth="1"/>
  </cols>
  <sheetData>
    <row r="1" spans="1:31" ht="21.75" customHeight="1" x14ac:dyDescent="0.2">
      <c r="A1" s="399" t="s">
        <v>57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105"/>
      <c r="M1" s="105"/>
      <c r="N1" s="105"/>
      <c r="O1" s="136"/>
      <c r="AB1" s="325">
        <f>N14+N25+K33</f>
        <v>51710.21703</v>
      </c>
      <c r="AC1" s="175">
        <f>N12+N15+O17++O18+O19+N27+N18+N19+O31+N20</f>
        <v>148690.51499999998</v>
      </c>
      <c r="AD1" s="175">
        <f>N13+N16</f>
        <v>27118.981</v>
      </c>
    </row>
    <row r="2" spans="1:31" ht="26.25" customHeight="1" x14ac:dyDescent="0.2">
      <c r="A2" s="401" t="s">
        <v>1</v>
      </c>
      <c r="B2" s="400" t="s">
        <v>2</v>
      </c>
      <c r="C2" s="422" t="s">
        <v>262</v>
      </c>
      <c r="D2" s="400" t="s">
        <v>5</v>
      </c>
      <c r="E2" s="400" t="s">
        <v>6</v>
      </c>
      <c r="F2" s="400" t="s">
        <v>4</v>
      </c>
      <c r="G2" s="400" t="s">
        <v>3</v>
      </c>
      <c r="H2" s="400" t="s">
        <v>0</v>
      </c>
      <c r="I2" s="400" t="s">
        <v>9</v>
      </c>
      <c r="J2" s="400" t="s">
        <v>182</v>
      </c>
      <c r="K2" s="400" t="s">
        <v>12</v>
      </c>
      <c r="L2" s="400" t="s">
        <v>183</v>
      </c>
      <c r="M2" s="446" t="s">
        <v>244</v>
      </c>
      <c r="N2" s="447"/>
      <c r="O2" s="436" t="s">
        <v>233</v>
      </c>
      <c r="X2" s="419" t="s">
        <v>227</v>
      </c>
      <c r="Y2" s="419" t="s">
        <v>228</v>
      </c>
      <c r="Z2" s="419"/>
      <c r="AA2" s="419"/>
      <c r="AB2" s="419" t="s">
        <v>225</v>
      </c>
      <c r="AC2" s="419"/>
      <c r="AD2" s="419"/>
    </row>
    <row r="3" spans="1:31" ht="48" customHeight="1" x14ac:dyDescent="0.2">
      <c r="A3" s="401"/>
      <c r="B3" s="400"/>
      <c r="C3" s="423"/>
      <c r="D3" s="400"/>
      <c r="E3" s="400"/>
      <c r="F3" s="400"/>
      <c r="G3" s="400"/>
      <c r="H3" s="400"/>
      <c r="I3" s="400"/>
      <c r="J3" s="400"/>
      <c r="K3" s="400"/>
      <c r="L3" s="400"/>
      <c r="M3" s="285" t="s">
        <v>216</v>
      </c>
      <c r="N3" s="278" t="s">
        <v>217</v>
      </c>
      <c r="O3" s="437"/>
      <c r="W3" t="s">
        <v>243</v>
      </c>
      <c r="X3" s="419"/>
      <c r="Y3" s="9" t="s">
        <v>229</v>
      </c>
      <c r="Z3" s="9" t="s">
        <v>230</v>
      </c>
      <c r="AA3" s="9" t="s">
        <v>231</v>
      </c>
      <c r="AB3" s="9" t="s">
        <v>229</v>
      </c>
      <c r="AC3" s="9" t="s">
        <v>230</v>
      </c>
      <c r="AD3" s="9" t="s">
        <v>231</v>
      </c>
      <c r="AE3" s="175">
        <f>AB1+AC1+AD1</f>
        <v>227519.71302999998</v>
      </c>
    </row>
    <row r="4" spans="1:31" ht="13.5" thickBot="1" x14ac:dyDescent="0.25">
      <c r="A4" s="224">
        <v>1</v>
      </c>
      <c r="B4" s="32">
        <v>3</v>
      </c>
      <c r="C4" s="32"/>
      <c r="D4" s="32">
        <v>5</v>
      </c>
      <c r="E4" s="32">
        <v>6</v>
      </c>
      <c r="F4" s="33">
        <v>7</v>
      </c>
      <c r="G4" s="32">
        <v>8</v>
      </c>
      <c r="H4" s="224">
        <v>9</v>
      </c>
      <c r="I4" s="224">
        <v>10</v>
      </c>
      <c r="J4" s="224"/>
      <c r="K4" s="32">
        <v>11</v>
      </c>
      <c r="L4" s="32">
        <v>11</v>
      </c>
      <c r="M4" s="35"/>
      <c r="N4" s="284"/>
      <c r="O4" s="301"/>
      <c r="X4" s="9"/>
      <c r="Y4" s="9"/>
      <c r="Z4" s="9"/>
      <c r="AA4" s="9"/>
      <c r="AB4" s="9"/>
      <c r="AC4" s="9"/>
      <c r="AD4" s="9"/>
      <c r="AE4" s="175">
        <f>270000-AE3</f>
        <v>42480.286970000016</v>
      </c>
    </row>
    <row r="5" spans="1:31" ht="28.5" customHeight="1" x14ac:dyDescent="0.25">
      <c r="A5" s="84">
        <v>1</v>
      </c>
      <c r="B5" s="85" t="s">
        <v>21</v>
      </c>
      <c r="C5" s="85" t="s">
        <v>169</v>
      </c>
      <c r="D5" s="86">
        <v>14.534000000000001</v>
      </c>
      <c r="E5" s="86">
        <v>100.446</v>
      </c>
      <c r="F5" s="85" t="s">
        <v>46</v>
      </c>
      <c r="G5" s="438" t="s">
        <v>239</v>
      </c>
      <c r="H5" s="37" t="s">
        <v>42</v>
      </c>
      <c r="I5" s="160" t="s">
        <v>10</v>
      </c>
      <c r="J5" s="157">
        <v>166221.071</v>
      </c>
      <c r="K5" s="157">
        <f>132754.14566-1542.62943</f>
        <v>131211.51623000001</v>
      </c>
      <c r="L5" s="39">
        <f>J5-K5</f>
        <v>35009.554769999988</v>
      </c>
      <c r="M5" s="348">
        <v>44398</v>
      </c>
      <c r="N5" s="296">
        <f>97084.134+34127.38223</f>
        <v>131211.51623000001</v>
      </c>
      <c r="O5" s="289">
        <f>K5-N5</f>
        <v>0</v>
      </c>
      <c r="X5" s="9" t="s">
        <v>230</v>
      </c>
      <c r="Y5" s="9"/>
      <c r="Z5" s="9">
        <f>D5</f>
        <v>14.534000000000001</v>
      </c>
      <c r="AA5" s="9"/>
      <c r="AB5" s="9"/>
      <c r="AC5" s="320">
        <f>K5</f>
        <v>131211.51623000001</v>
      </c>
      <c r="AD5" s="9"/>
      <c r="AE5" s="326" t="s">
        <v>232</v>
      </c>
    </row>
    <row r="6" spans="1:31" ht="40.5" customHeight="1" x14ac:dyDescent="0.2">
      <c r="A6" s="87">
        <v>2</v>
      </c>
      <c r="B6" s="219" t="s">
        <v>22</v>
      </c>
      <c r="C6" s="362" t="s">
        <v>170</v>
      </c>
      <c r="D6" s="220">
        <v>3.34</v>
      </c>
      <c r="E6" s="220">
        <v>21.001000000000001</v>
      </c>
      <c r="F6" s="219" t="s">
        <v>7</v>
      </c>
      <c r="G6" s="439"/>
      <c r="H6" s="30" t="s">
        <v>16</v>
      </c>
      <c r="I6" s="119" t="s">
        <v>10</v>
      </c>
      <c r="J6" s="117">
        <v>31986.367999999999</v>
      </c>
      <c r="K6" s="117">
        <v>25546.237499999999</v>
      </c>
      <c r="L6" s="40">
        <f t="shared" ref="L6:L9" si="0">J6-K6</f>
        <v>6440.1304999999993</v>
      </c>
      <c r="M6" s="349">
        <v>44396</v>
      </c>
      <c r="N6" s="296">
        <v>25546.237499999999</v>
      </c>
      <c r="O6" s="289">
        <f t="shared" ref="O6:O9" si="1">K6-N6</f>
        <v>0</v>
      </c>
      <c r="X6" s="9" t="s">
        <v>230</v>
      </c>
      <c r="Y6" s="9"/>
      <c r="Z6" s="9">
        <f t="shared" ref="Z6:Z9" si="2">D6</f>
        <v>3.34</v>
      </c>
      <c r="AA6" s="9"/>
      <c r="AB6" s="9"/>
      <c r="AC6" s="320">
        <f t="shared" ref="AC6:AC9" si="3">K6</f>
        <v>25546.237499999999</v>
      </c>
      <c r="AD6" s="9"/>
    </row>
    <row r="7" spans="1:31" ht="25.5" customHeight="1" x14ac:dyDescent="0.2">
      <c r="A7" s="87">
        <v>3</v>
      </c>
      <c r="B7" s="219" t="s">
        <v>23</v>
      </c>
      <c r="C7" s="362" t="s">
        <v>171</v>
      </c>
      <c r="D7" s="220">
        <v>2.7829999999999999</v>
      </c>
      <c r="E7" s="220">
        <v>18.663</v>
      </c>
      <c r="F7" s="219" t="s">
        <v>46</v>
      </c>
      <c r="G7" s="439"/>
      <c r="H7" s="30" t="s">
        <v>14</v>
      </c>
      <c r="I7" s="119" t="s">
        <v>10</v>
      </c>
      <c r="J7" s="117">
        <v>29113.867999999999</v>
      </c>
      <c r="K7" s="117">
        <f>23252.08621+1542.62943</f>
        <v>24794.715640000002</v>
      </c>
      <c r="L7" s="40">
        <f t="shared" si="0"/>
        <v>4319.1523599999964</v>
      </c>
      <c r="M7" s="349">
        <v>44342</v>
      </c>
      <c r="N7" s="296">
        <f>K7</f>
        <v>24794.715640000002</v>
      </c>
      <c r="O7" s="289">
        <f t="shared" si="1"/>
        <v>0</v>
      </c>
      <c r="X7" s="9" t="s">
        <v>230</v>
      </c>
      <c r="Y7" s="9"/>
      <c r="Z7" s="9">
        <f t="shared" si="2"/>
        <v>2.7829999999999999</v>
      </c>
      <c r="AA7" s="9"/>
      <c r="AB7" s="9"/>
      <c r="AC7" s="320">
        <f t="shared" si="3"/>
        <v>24794.715640000002</v>
      </c>
      <c r="AD7" s="9"/>
    </row>
    <row r="8" spans="1:31" ht="38.25" customHeight="1" x14ac:dyDescent="0.2">
      <c r="A8" s="87">
        <v>4</v>
      </c>
      <c r="B8" s="219" t="s">
        <v>24</v>
      </c>
      <c r="C8" s="362" t="s">
        <v>172</v>
      </c>
      <c r="D8" s="220">
        <v>2.36</v>
      </c>
      <c r="E8" s="220">
        <v>15.103999999999999</v>
      </c>
      <c r="F8" s="219" t="s">
        <v>7</v>
      </c>
      <c r="G8" s="439"/>
      <c r="H8" s="30" t="s">
        <v>19</v>
      </c>
      <c r="I8" s="119" t="s">
        <v>10</v>
      </c>
      <c r="J8" s="117">
        <v>23018.71</v>
      </c>
      <c r="K8" s="117">
        <f>18384.1264</f>
        <v>18384.126400000001</v>
      </c>
      <c r="L8" s="40">
        <f t="shared" si="0"/>
        <v>4634.5835999999981</v>
      </c>
      <c r="M8" s="349">
        <v>44432</v>
      </c>
      <c r="N8" s="296">
        <v>18384.126400000001</v>
      </c>
      <c r="O8" s="289">
        <f t="shared" si="1"/>
        <v>0</v>
      </c>
      <c r="X8" s="9" t="s">
        <v>230</v>
      </c>
      <c r="Y8" s="9"/>
      <c r="Z8" s="9">
        <f t="shared" si="2"/>
        <v>2.36</v>
      </c>
      <c r="AA8" s="9"/>
      <c r="AB8" s="9"/>
      <c r="AC8" s="320">
        <f t="shared" si="3"/>
        <v>18384.126400000001</v>
      </c>
      <c r="AD8" s="9"/>
    </row>
    <row r="9" spans="1:31" ht="42" customHeight="1" thickBot="1" x14ac:dyDescent="0.25">
      <c r="A9" s="90">
        <v>5</v>
      </c>
      <c r="B9" s="91" t="s">
        <v>25</v>
      </c>
      <c r="C9" s="91" t="s">
        <v>173</v>
      </c>
      <c r="D9" s="92">
        <v>6.6929999999999996</v>
      </c>
      <c r="E9" s="92">
        <v>40.56</v>
      </c>
      <c r="F9" s="91" t="s">
        <v>7</v>
      </c>
      <c r="G9" s="440"/>
      <c r="H9" s="207" t="s">
        <v>16</v>
      </c>
      <c r="I9" s="161" t="s">
        <v>10</v>
      </c>
      <c r="J9" s="158">
        <v>62559.029860000002</v>
      </c>
      <c r="K9" s="158">
        <v>49963.40423</v>
      </c>
      <c r="L9" s="43">
        <f t="shared" si="0"/>
        <v>12595.625630000002</v>
      </c>
      <c r="M9" s="350">
        <v>44432</v>
      </c>
      <c r="N9" s="296">
        <v>49963.40423</v>
      </c>
      <c r="O9" s="289">
        <f t="shared" si="1"/>
        <v>0</v>
      </c>
      <c r="P9" s="136">
        <f>L5+L6+L7+L8+L9</f>
        <v>62999.04685999998</v>
      </c>
      <c r="Q9" s="175">
        <f>K5+K6+K7+K8+K9</f>
        <v>249900</v>
      </c>
      <c r="R9" s="175">
        <f>J5+J6+J7+J8+J9</f>
        <v>312899.04685999994</v>
      </c>
      <c r="X9" s="9" t="s">
        <v>230</v>
      </c>
      <c r="Y9" s="9"/>
      <c r="Z9" s="9">
        <f t="shared" si="2"/>
        <v>6.6929999999999996</v>
      </c>
      <c r="AA9" s="9"/>
      <c r="AB9" s="9"/>
      <c r="AC9" s="320">
        <f t="shared" si="3"/>
        <v>49963.40423</v>
      </c>
      <c r="AD9" s="9"/>
    </row>
    <row r="10" spans="1:31" s="180" customFormat="1" ht="21" customHeight="1" thickBot="1" x14ac:dyDescent="0.25">
      <c r="A10" s="176"/>
      <c r="B10" s="182" t="s">
        <v>184</v>
      </c>
      <c r="C10" s="182"/>
      <c r="D10" s="181">
        <f>SUM(D5:D9)</f>
        <v>29.71</v>
      </c>
      <c r="E10" s="177">
        <f t="shared" ref="E10:O10" si="4">SUM(E5:E9)</f>
        <v>195.774</v>
      </c>
      <c r="F10" s="177"/>
      <c r="G10" s="177"/>
      <c r="H10" s="177"/>
      <c r="I10" s="177"/>
      <c r="J10" s="203">
        <f t="shared" si="4"/>
        <v>312899.04685999994</v>
      </c>
      <c r="K10" s="286">
        <f t="shared" si="4"/>
        <v>249900</v>
      </c>
      <c r="L10" s="294">
        <f t="shared" si="4"/>
        <v>62999.04685999998</v>
      </c>
      <c r="M10" s="346"/>
      <c r="N10" s="286">
        <f t="shared" si="4"/>
        <v>249900</v>
      </c>
      <c r="O10" s="286">
        <f t="shared" si="4"/>
        <v>0</v>
      </c>
      <c r="P10" s="292">
        <f>N10+O10</f>
        <v>249900</v>
      </c>
      <c r="Q10" s="179"/>
      <c r="R10" s="179"/>
      <c r="X10" s="314"/>
      <c r="Y10" s="314"/>
      <c r="Z10" s="314"/>
      <c r="AA10" s="314"/>
      <c r="AB10" s="344">
        <f>N11+N12</f>
        <v>46776.451000000001</v>
      </c>
      <c r="AC10" s="314"/>
      <c r="AD10" s="314"/>
    </row>
    <row r="11" spans="1:31" ht="20.25" customHeight="1" x14ac:dyDescent="0.2">
      <c r="A11" s="393">
        <v>6</v>
      </c>
      <c r="B11" s="395" t="s">
        <v>26</v>
      </c>
      <c r="C11" s="357" t="s">
        <v>174</v>
      </c>
      <c r="D11" s="397">
        <v>6.3</v>
      </c>
      <c r="E11" s="397">
        <v>42.21</v>
      </c>
      <c r="F11" s="395" t="s">
        <v>7</v>
      </c>
      <c r="G11" s="441" t="s">
        <v>240</v>
      </c>
      <c r="H11" s="206" t="s">
        <v>14</v>
      </c>
      <c r="I11" s="160" t="s">
        <v>10</v>
      </c>
      <c r="J11" s="157">
        <v>38238.735000000001</v>
      </c>
      <c r="K11" s="157">
        <v>27168.171999999999</v>
      </c>
      <c r="L11" s="276">
        <f>J11-K11</f>
        <v>11070.563000000002</v>
      </c>
      <c r="M11" s="444">
        <v>44351</v>
      </c>
      <c r="N11" s="297">
        <f t="shared" ref="N11:N16" si="5">K11</f>
        <v>27168.171999999999</v>
      </c>
      <c r="O11" s="290">
        <f>K11-N11</f>
        <v>0</v>
      </c>
      <c r="X11" s="420" t="s">
        <v>230</v>
      </c>
      <c r="Y11" s="420"/>
      <c r="Z11" s="420">
        <f>D11</f>
        <v>6.3</v>
      </c>
      <c r="AA11" s="420"/>
      <c r="AB11" s="9"/>
      <c r="AC11" s="320">
        <f>K11</f>
        <v>27168.171999999999</v>
      </c>
      <c r="AD11" s="315"/>
    </row>
    <row r="12" spans="1:31" ht="19.5" customHeight="1" x14ac:dyDescent="0.2">
      <c r="A12" s="394"/>
      <c r="B12" s="396"/>
      <c r="C12" s="358"/>
      <c r="D12" s="398"/>
      <c r="E12" s="398"/>
      <c r="F12" s="396"/>
      <c r="G12" s="442"/>
      <c r="H12" s="31" t="s">
        <v>14</v>
      </c>
      <c r="I12" s="118" t="s">
        <v>11</v>
      </c>
      <c r="J12" s="117">
        <v>27598.314999999999</v>
      </c>
      <c r="K12" s="117">
        <v>19608.278999999999</v>
      </c>
      <c r="L12" s="277">
        <f t="shared" ref="L12:L31" si="6">J12-K12</f>
        <v>7990.0360000000001</v>
      </c>
      <c r="M12" s="445"/>
      <c r="N12" s="298">
        <f t="shared" si="5"/>
        <v>19608.278999999999</v>
      </c>
      <c r="O12" s="290">
        <f t="shared" ref="O12:O20" si="7">K12-N12</f>
        <v>0</v>
      </c>
      <c r="X12" s="421"/>
      <c r="Y12" s="421"/>
      <c r="Z12" s="421"/>
      <c r="AA12" s="421"/>
      <c r="AB12" s="9"/>
      <c r="AC12" s="320">
        <f t="shared" ref="AC12:AC20" si="8">K12</f>
        <v>19608.278999999999</v>
      </c>
      <c r="AD12" s="315"/>
    </row>
    <row r="13" spans="1:31" ht="31.5" customHeight="1" x14ac:dyDescent="0.2">
      <c r="A13" s="209">
        <v>7</v>
      </c>
      <c r="B13" s="208" t="s">
        <v>27</v>
      </c>
      <c r="C13" s="358" t="s">
        <v>174</v>
      </c>
      <c r="D13" s="210">
        <v>4.0529999999999999</v>
      </c>
      <c r="E13" s="210">
        <v>22.259</v>
      </c>
      <c r="F13" s="208" t="s">
        <v>46</v>
      </c>
      <c r="G13" s="442"/>
      <c r="H13" s="30" t="s">
        <v>16</v>
      </c>
      <c r="I13" s="118" t="s">
        <v>11</v>
      </c>
      <c r="J13" s="117">
        <v>38156.769</v>
      </c>
      <c r="K13" s="117">
        <v>23640.675999999999</v>
      </c>
      <c r="L13" s="40">
        <f t="shared" si="6"/>
        <v>14516.093000000001</v>
      </c>
      <c r="M13" s="349">
        <v>44365</v>
      </c>
      <c r="N13" s="296">
        <f t="shared" si="5"/>
        <v>23640.675999999999</v>
      </c>
      <c r="O13" s="290">
        <f t="shared" si="7"/>
        <v>0</v>
      </c>
      <c r="X13" s="9" t="s">
        <v>231</v>
      </c>
      <c r="Y13" s="9"/>
      <c r="Z13" s="9"/>
      <c r="AA13" s="9">
        <f>D13</f>
        <v>4.0529999999999999</v>
      </c>
      <c r="AB13" s="9"/>
      <c r="AC13" s="320"/>
      <c r="AD13" s="320">
        <f>K13</f>
        <v>23640.675999999999</v>
      </c>
    </row>
    <row r="14" spans="1:31" ht="27.75" customHeight="1" x14ac:dyDescent="0.2">
      <c r="A14" s="209">
        <v>8</v>
      </c>
      <c r="B14" s="208" t="s">
        <v>188</v>
      </c>
      <c r="C14" s="358" t="s">
        <v>175</v>
      </c>
      <c r="D14" s="210">
        <v>1.93</v>
      </c>
      <c r="E14" s="210">
        <v>14.566000000000001</v>
      </c>
      <c r="F14" s="208" t="s">
        <v>7</v>
      </c>
      <c r="G14" s="442"/>
      <c r="H14" s="30" t="s">
        <v>14</v>
      </c>
      <c r="I14" s="118" t="s">
        <v>11</v>
      </c>
      <c r="J14" s="117">
        <v>23692.947</v>
      </c>
      <c r="K14" s="117">
        <v>16833.560000000001</v>
      </c>
      <c r="L14" s="40">
        <f t="shared" si="6"/>
        <v>6859.3869999999988</v>
      </c>
      <c r="M14" s="349">
        <v>44337</v>
      </c>
      <c r="N14" s="296">
        <f t="shared" si="5"/>
        <v>16833.560000000001</v>
      </c>
      <c r="O14" s="290">
        <f t="shared" si="7"/>
        <v>0</v>
      </c>
      <c r="X14" s="9" t="s">
        <v>229</v>
      </c>
      <c r="Y14" s="9">
        <f>D14</f>
        <v>1.93</v>
      </c>
      <c r="Z14" s="9"/>
      <c r="AA14" s="9"/>
      <c r="AB14" s="320">
        <f>K14</f>
        <v>16833.560000000001</v>
      </c>
      <c r="AC14" s="320"/>
      <c r="AD14" s="9"/>
    </row>
    <row r="15" spans="1:31" ht="29.25" customHeight="1" x14ac:dyDescent="0.2">
      <c r="A15" s="209">
        <v>9</v>
      </c>
      <c r="B15" s="208" t="s">
        <v>28</v>
      </c>
      <c r="C15" s="358" t="s">
        <v>175</v>
      </c>
      <c r="D15" s="210">
        <v>5.0149999999999997</v>
      </c>
      <c r="E15" s="210">
        <v>34.514000000000003</v>
      </c>
      <c r="F15" s="208" t="s">
        <v>7</v>
      </c>
      <c r="G15" s="442"/>
      <c r="H15" s="30" t="s">
        <v>16</v>
      </c>
      <c r="I15" s="118" t="s">
        <v>11</v>
      </c>
      <c r="J15" s="117">
        <v>52302.366999999998</v>
      </c>
      <c r="K15" s="117">
        <v>37160.216999999997</v>
      </c>
      <c r="L15" s="40">
        <f t="shared" si="6"/>
        <v>15142.150000000001</v>
      </c>
      <c r="M15" s="349">
        <v>44363</v>
      </c>
      <c r="N15" s="296">
        <f t="shared" si="5"/>
        <v>37160.216999999997</v>
      </c>
      <c r="O15" s="290">
        <f t="shared" si="7"/>
        <v>0</v>
      </c>
      <c r="X15" s="9" t="s">
        <v>230</v>
      </c>
      <c r="Y15" s="9"/>
      <c r="Z15" s="9">
        <f>D15</f>
        <v>5.0149999999999997</v>
      </c>
      <c r="AA15" s="9"/>
      <c r="AB15" s="9"/>
      <c r="AC15" s="320">
        <f t="shared" si="8"/>
        <v>37160.216999999997</v>
      </c>
      <c r="AD15" s="9"/>
    </row>
    <row r="16" spans="1:31" ht="27.75" customHeight="1" x14ac:dyDescent="0.2">
      <c r="A16" s="209">
        <v>10</v>
      </c>
      <c r="B16" s="208" t="s">
        <v>29</v>
      </c>
      <c r="C16" s="358" t="s">
        <v>175</v>
      </c>
      <c r="D16" s="210">
        <v>0.74</v>
      </c>
      <c r="E16" s="210">
        <v>3.33</v>
      </c>
      <c r="F16" s="208" t="s">
        <v>7</v>
      </c>
      <c r="G16" s="442"/>
      <c r="H16" s="30" t="s">
        <v>14</v>
      </c>
      <c r="I16" s="118" t="s">
        <v>11</v>
      </c>
      <c r="J16" s="117">
        <v>4895.6540000000005</v>
      </c>
      <c r="K16" s="117">
        <v>3478.3049999999998</v>
      </c>
      <c r="L16" s="40">
        <f t="shared" si="6"/>
        <v>1417.3490000000006</v>
      </c>
      <c r="M16" s="349">
        <v>44337</v>
      </c>
      <c r="N16" s="296">
        <f t="shared" si="5"/>
        <v>3478.3049999999998</v>
      </c>
      <c r="O16" s="290">
        <f t="shared" si="7"/>
        <v>0</v>
      </c>
      <c r="X16" s="9" t="s">
        <v>231</v>
      </c>
      <c r="Y16" s="9"/>
      <c r="Z16" s="9"/>
      <c r="AA16" s="9">
        <f>D16</f>
        <v>0.74</v>
      </c>
      <c r="AB16" s="9"/>
      <c r="AC16" s="320"/>
      <c r="AD16" s="320">
        <f>K16</f>
        <v>3478.3049999999998</v>
      </c>
    </row>
    <row r="17" spans="1:30" ht="30" customHeight="1" x14ac:dyDescent="0.2">
      <c r="A17" s="209">
        <v>11</v>
      </c>
      <c r="B17" s="208" t="s">
        <v>30</v>
      </c>
      <c r="C17" s="358" t="s">
        <v>176</v>
      </c>
      <c r="D17" s="210">
        <v>3.742</v>
      </c>
      <c r="E17" s="210">
        <v>27.632000000000001</v>
      </c>
      <c r="F17" s="208" t="s">
        <v>46</v>
      </c>
      <c r="G17" s="442"/>
      <c r="H17" s="30" t="s">
        <v>16</v>
      </c>
      <c r="I17" s="118" t="s">
        <v>11</v>
      </c>
      <c r="J17" s="117">
        <v>42541.798000000003</v>
      </c>
      <c r="K17" s="117">
        <v>30225.448</v>
      </c>
      <c r="L17" s="40">
        <f t="shared" si="6"/>
        <v>12316.350000000002</v>
      </c>
      <c r="M17" s="349">
        <v>44403</v>
      </c>
      <c r="N17" s="299">
        <v>30225.448</v>
      </c>
      <c r="O17" s="290">
        <f t="shared" si="7"/>
        <v>0</v>
      </c>
      <c r="X17" s="9" t="s">
        <v>230</v>
      </c>
      <c r="Y17" s="9"/>
      <c r="Z17" s="9">
        <f t="shared" ref="Z17:Z20" si="9">D17</f>
        <v>3.742</v>
      </c>
      <c r="AA17" s="9"/>
      <c r="AB17" s="9"/>
      <c r="AC17" s="320">
        <f t="shared" si="8"/>
        <v>30225.448</v>
      </c>
      <c r="AD17" s="9"/>
    </row>
    <row r="18" spans="1:30" ht="33" customHeight="1" x14ac:dyDescent="0.2">
      <c r="A18" s="209">
        <v>12</v>
      </c>
      <c r="B18" s="208" t="s">
        <v>31</v>
      </c>
      <c r="C18" s="358" t="s">
        <v>176</v>
      </c>
      <c r="D18" s="210">
        <v>3.6560000000000001</v>
      </c>
      <c r="E18" s="210">
        <v>25.53</v>
      </c>
      <c r="F18" s="208" t="s">
        <v>7</v>
      </c>
      <c r="G18" s="442"/>
      <c r="H18" s="30" t="s">
        <v>16</v>
      </c>
      <c r="I18" s="118" t="s">
        <v>11</v>
      </c>
      <c r="J18" s="117">
        <v>35459.300000000003</v>
      </c>
      <c r="K18" s="117">
        <v>25193.416000000001</v>
      </c>
      <c r="L18" s="40">
        <f t="shared" si="6"/>
        <v>10265.884000000002</v>
      </c>
      <c r="M18" s="349">
        <v>44382</v>
      </c>
      <c r="N18" s="299">
        <f>11596.29157+13597.12443</f>
        <v>25193.415999999997</v>
      </c>
      <c r="O18" s="290">
        <f t="shared" si="7"/>
        <v>0</v>
      </c>
      <c r="P18" s="293">
        <f>K18-N18</f>
        <v>0</v>
      </c>
      <c r="X18" s="9" t="s">
        <v>230</v>
      </c>
      <c r="Y18" s="9"/>
      <c r="Z18" s="9">
        <f t="shared" si="9"/>
        <v>3.6560000000000001</v>
      </c>
      <c r="AA18" s="9"/>
      <c r="AB18" s="9"/>
      <c r="AC18" s="320">
        <f t="shared" si="8"/>
        <v>25193.416000000001</v>
      </c>
      <c r="AD18" s="9"/>
    </row>
    <row r="19" spans="1:30" ht="28.5" customHeight="1" x14ac:dyDescent="0.2">
      <c r="A19" s="209">
        <v>13</v>
      </c>
      <c r="B19" s="208" t="s">
        <v>32</v>
      </c>
      <c r="C19" s="358" t="s">
        <v>176</v>
      </c>
      <c r="D19" s="210">
        <v>2.4780000000000002</v>
      </c>
      <c r="E19" s="210">
        <v>18.015999999999998</v>
      </c>
      <c r="F19" s="208" t="s">
        <v>46</v>
      </c>
      <c r="G19" s="442"/>
      <c r="H19" s="31" t="s">
        <v>14</v>
      </c>
      <c r="I19" s="118" t="s">
        <v>11</v>
      </c>
      <c r="J19" s="117">
        <v>26430.111000000001</v>
      </c>
      <c r="K19" s="117">
        <v>18778.282999999999</v>
      </c>
      <c r="L19" s="40">
        <f t="shared" si="6"/>
        <v>7651.8280000000013</v>
      </c>
      <c r="M19" s="349">
        <v>44342</v>
      </c>
      <c r="N19" s="296">
        <f>K19</f>
        <v>18778.282999999999</v>
      </c>
      <c r="O19" s="290">
        <f t="shared" si="7"/>
        <v>0</v>
      </c>
      <c r="P19" s="136"/>
      <c r="X19" s="9" t="s">
        <v>230</v>
      </c>
      <c r="Y19" s="9"/>
      <c r="Z19" s="9">
        <f t="shared" si="9"/>
        <v>2.4780000000000002</v>
      </c>
      <c r="AA19" s="9"/>
      <c r="AB19" s="9"/>
      <c r="AC19" s="320">
        <f t="shared" si="8"/>
        <v>18778.282999999999</v>
      </c>
      <c r="AD19" s="9"/>
    </row>
    <row r="20" spans="1:30" ht="30" customHeight="1" x14ac:dyDescent="0.2">
      <c r="A20" s="218">
        <v>14</v>
      </c>
      <c r="B20" s="216" t="s">
        <v>33</v>
      </c>
      <c r="C20" s="358" t="s">
        <v>176</v>
      </c>
      <c r="D20" s="217">
        <v>1.712</v>
      </c>
      <c r="E20" s="217">
        <v>12.96</v>
      </c>
      <c r="F20" s="216" t="s">
        <v>7</v>
      </c>
      <c r="G20" s="443"/>
      <c r="H20" s="114" t="s">
        <v>15</v>
      </c>
      <c r="I20" s="248" t="s">
        <v>11</v>
      </c>
      <c r="J20" s="249">
        <v>18922.739000000001</v>
      </c>
      <c r="K20" s="249">
        <v>13444.384</v>
      </c>
      <c r="L20" s="115">
        <f t="shared" si="6"/>
        <v>5478.3550000000014</v>
      </c>
      <c r="M20" s="345">
        <v>44355</v>
      </c>
      <c r="N20" s="299">
        <f>K20</f>
        <v>13444.384</v>
      </c>
      <c r="O20" s="290">
        <f t="shared" si="7"/>
        <v>0</v>
      </c>
      <c r="P20" s="136">
        <f>R24+K28</f>
        <v>61992.451999999997</v>
      </c>
      <c r="X20" s="9" t="s">
        <v>230</v>
      </c>
      <c r="Y20" s="9"/>
      <c r="Z20" s="9">
        <f t="shared" si="9"/>
        <v>1.712</v>
      </c>
      <c r="AA20" s="9"/>
      <c r="AB20" s="9"/>
      <c r="AC20" s="320">
        <f t="shared" si="8"/>
        <v>13444.384</v>
      </c>
      <c r="AD20" s="9"/>
    </row>
    <row r="21" spans="1:30" s="180" customFormat="1" ht="21" customHeight="1" x14ac:dyDescent="0.2">
      <c r="A21" s="251"/>
      <c r="B21" s="252" t="s">
        <v>184</v>
      </c>
      <c r="C21" s="252"/>
      <c r="D21" s="253">
        <f>SUM(D11:D20)</f>
        <v>29.625999999999998</v>
      </c>
      <c r="E21" s="253">
        <f t="shared" ref="E21:O21" si="10">SUM(E11:E20)</f>
        <v>201.017</v>
      </c>
      <c r="F21" s="253"/>
      <c r="G21" s="253"/>
      <c r="H21" s="253"/>
      <c r="I21" s="253"/>
      <c r="J21" s="254">
        <f t="shared" si="10"/>
        <v>308238.73499999999</v>
      </c>
      <c r="K21" s="254">
        <f t="shared" si="10"/>
        <v>215530.74</v>
      </c>
      <c r="L21" s="295">
        <f t="shared" si="10"/>
        <v>92707.99500000001</v>
      </c>
      <c r="M21" s="347"/>
      <c r="N21" s="254">
        <f t="shared" si="10"/>
        <v>215530.74</v>
      </c>
      <c r="O21" s="254">
        <f t="shared" si="10"/>
        <v>0</v>
      </c>
      <c r="P21" s="292">
        <f>N21+O21+K18-N18</f>
        <v>215530.74</v>
      </c>
      <c r="X21" s="314"/>
      <c r="Y21" s="314"/>
      <c r="Z21" s="314"/>
      <c r="AA21" s="314"/>
      <c r="AB21" s="314"/>
      <c r="AC21" s="314"/>
      <c r="AD21" s="314"/>
    </row>
    <row r="22" spans="1:30" ht="38.25" customHeight="1" x14ac:dyDescent="0.2">
      <c r="A22" s="221">
        <v>15</v>
      </c>
      <c r="B22" s="223" t="s">
        <v>34</v>
      </c>
      <c r="C22" s="361" t="s">
        <v>174</v>
      </c>
      <c r="D22" s="222">
        <v>1.28</v>
      </c>
      <c r="E22" s="222">
        <v>7.68</v>
      </c>
      <c r="F22" s="223" t="s">
        <v>13</v>
      </c>
      <c r="G22" s="333" t="s">
        <v>241</v>
      </c>
      <c r="H22" s="250" t="s">
        <v>15</v>
      </c>
      <c r="I22" s="243" t="s">
        <v>10</v>
      </c>
      <c r="J22" s="244">
        <v>11522.529</v>
      </c>
      <c r="K22" s="117">
        <v>7374.4182199999996</v>
      </c>
      <c r="L22" s="287">
        <f t="shared" si="6"/>
        <v>4148.1107800000009</v>
      </c>
      <c r="M22" s="351">
        <v>44370</v>
      </c>
      <c r="N22" s="296">
        <f>K22</f>
        <v>7374.4182199999996</v>
      </c>
      <c r="O22" s="117">
        <f>K22-N22</f>
        <v>0</v>
      </c>
      <c r="X22" s="9" t="s">
        <v>231</v>
      </c>
      <c r="Y22" s="9"/>
      <c r="Z22" s="9"/>
      <c r="AA22" s="9">
        <f>D22</f>
        <v>1.28</v>
      </c>
      <c r="AB22" s="9"/>
      <c r="AC22" s="320"/>
      <c r="AD22" s="320">
        <f>K22</f>
        <v>7374.4182199999996</v>
      </c>
    </row>
    <row r="23" spans="1:30" ht="36.75" customHeight="1" thickBot="1" x14ac:dyDescent="0.25">
      <c r="A23" s="211">
        <v>16</v>
      </c>
      <c r="B23" s="212" t="s">
        <v>35</v>
      </c>
      <c r="C23" s="354" t="s">
        <v>176</v>
      </c>
      <c r="D23" s="213">
        <v>1.92</v>
      </c>
      <c r="E23" s="213">
        <v>10.500999999999999</v>
      </c>
      <c r="F23" s="212" t="s">
        <v>8</v>
      </c>
      <c r="G23" s="334" t="s">
        <v>242</v>
      </c>
      <c r="H23" s="171" t="s">
        <v>14</v>
      </c>
      <c r="I23" s="161" t="s">
        <v>10</v>
      </c>
      <c r="J23" s="158">
        <v>16075.786</v>
      </c>
      <c r="K23" s="158">
        <v>11092.292240000001</v>
      </c>
      <c r="L23" s="288">
        <f t="shared" si="6"/>
        <v>4983.4937599999994</v>
      </c>
      <c r="M23" s="352">
        <v>44341</v>
      </c>
      <c r="N23" s="300">
        <f>K23</f>
        <v>11092.292240000001</v>
      </c>
      <c r="O23" s="117">
        <f t="shared" ref="O23:O28" si="11">K23-N23</f>
        <v>0</v>
      </c>
      <c r="P23" s="136"/>
      <c r="X23" s="9" t="s">
        <v>231</v>
      </c>
      <c r="Y23" s="9"/>
      <c r="Z23" s="9"/>
      <c r="AA23" s="9">
        <f>D23</f>
        <v>1.92</v>
      </c>
      <c r="AB23" s="9"/>
      <c r="AC23" s="320"/>
      <c r="AD23" s="320">
        <f>K23</f>
        <v>11092.292240000001</v>
      </c>
    </row>
    <row r="24" spans="1:30" ht="19.5" customHeight="1" x14ac:dyDescent="0.2">
      <c r="A24" s="385">
        <v>17</v>
      </c>
      <c r="B24" s="387" t="s">
        <v>43</v>
      </c>
      <c r="C24" s="355" t="s">
        <v>177</v>
      </c>
      <c r="D24" s="389">
        <v>5.05</v>
      </c>
      <c r="E24" s="391">
        <v>40.179000000000002</v>
      </c>
      <c r="F24" s="387" t="s">
        <v>13</v>
      </c>
      <c r="G24" s="428" t="s">
        <v>236</v>
      </c>
      <c r="H24" s="448" t="s">
        <v>15</v>
      </c>
      <c r="I24" s="160" t="s">
        <v>10</v>
      </c>
      <c r="J24" s="157">
        <v>33520.404799999997</v>
      </c>
      <c r="K24" s="157">
        <f>21397.193</f>
        <v>21397.192999999999</v>
      </c>
      <c r="L24" s="276">
        <f t="shared" si="6"/>
        <v>12123.211799999997</v>
      </c>
      <c r="M24" s="451">
        <v>44410</v>
      </c>
      <c r="N24" s="298">
        <f>K24</f>
        <v>21397.192999999999</v>
      </c>
      <c r="O24" s="117">
        <f t="shared" si="11"/>
        <v>0</v>
      </c>
      <c r="P24" s="229">
        <f>K24+K26</f>
        <v>27657.343999999997</v>
      </c>
      <c r="Q24" s="230" t="s">
        <v>190</v>
      </c>
      <c r="R24" s="229">
        <v>21397.192999999999</v>
      </c>
      <c r="S24" t="s">
        <v>192</v>
      </c>
      <c r="U24" s="230">
        <f>K24-R24</f>
        <v>0</v>
      </c>
      <c r="V24" t="s">
        <v>194</v>
      </c>
      <c r="X24" s="420" t="s">
        <v>229</v>
      </c>
      <c r="Y24" s="456">
        <f>D24</f>
        <v>5.05</v>
      </c>
      <c r="Z24" s="420"/>
      <c r="AA24" s="420"/>
      <c r="AB24" s="320">
        <f>K24</f>
        <v>21397.192999999999</v>
      </c>
      <c r="AC24" s="320"/>
      <c r="AD24" s="315"/>
    </row>
    <row r="25" spans="1:30" ht="20.25" customHeight="1" thickBot="1" x14ac:dyDescent="0.25">
      <c r="A25" s="386"/>
      <c r="B25" s="388"/>
      <c r="C25" s="356"/>
      <c r="D25" s="390"/>
      <c r="E25" s="392"/>
      <c r="F25" s="388"/>
      <c r="G25" s="429"/>
      <c r="H25" s="449"/>
      <c r="I25" s="118" t="s">
        <v>11</v>
      </c>
      <c r="J25" s="117">
        <v>28661.369200000001</v>
      </c>
      <c r="K25" s="117">
        <f>23502.138+6089.323</f>
        <v>29591.460999999999</v>
      </c>
      <c r="L25" s="288">
        <f t="shared" si="6"/>
        <v>-930.09179999999833</v>
      </c>
      <c r="M25" s="452"/>
      <c r="N25" s="296">
        <f>K25</f>
        <v>29591.460999999999</v>
      </c>
      <c r="O25" s="117">
        <f t="shared" si="11"/>
        <v>0</v>
      </c>
      <c r="P25" s="229">
        <f>K25+K28</f>
        <v>70186.720000000001</v>
      </c>
      <c r="Q25" s="230" t="s">
        <v>191</v>
      </c>
      <c r="R25" s="230"/>
      <c r="U25" s="230">
        <f>K25+U24</f>
        <v>29591.460999999999</v>
      </c>
      <c r="V25" t="s">
        <v>195</v>
      </c>
      <c r="X25" s="421"/>
      <c r="Y25" s="421"/>
      <c r="Z25" s="421"/>
      <c r="AA25" s="421"/>
      <c r="AB25" s="320">
        <f>K25</f>
        <v>29591.460999999999</v>
      </c>
      <c r="AC25" s="320"/>
      <c r="AD25" s="315"/>
    </row>
    <row r="26" spans="1:30" ht="25.5" customHeight="1" x14ac:dyDescent="0.2">
      <c r="A26" s="426">
        <v>18</v>
      </c>
      <c r="B26" s="424" t="s">
        <v>44</v>
      </c>
      <c r="C26" s="359"/>
      <c r="D26" s="432">
        <v>4.93</v>
      </c>
      <c r="E26" s="434">
        <v>32.475000000000001</v>
      </c>
      <c r="F26" s="424" t="s">
        <v>13</v>
      </c>
      <c r="G26" s="429"/>
      <c r="H26" s="450" t="s">
        <v>16</v>
      </c>
      <c r="I26" s="119" t="s">
        <v>10</v>
      </c>
      <c r="J26" s="117">
        <v>49715.130409999998</v>
      </c>
      <c r="K26" s="117">
        <v>6260.1509999999998</v>
      </c>
      <c r="L26" s="277">
        <f t="shared" si="6"/>
        <v>43454.97941</v>
      </c>
      <c r="M26" s="452"/>
      <c r="N26" s="296">
        <f>2770.8+3489.351</f>
        <v>6260.1509999999998</v>
      </c>
      <c r="O26" s="117">
        <f t="shared" si="11"/>
        <v>0</v>
      </c>
      <c r="P26" s="136">
        <f>U26</f>
        <v>40595.259000000005</v>
      </c>
      <c r="Q26" t="s">
        <v>198</v>
      </c>
      <c r="R26" s="175">
        <f>K26-P26</f>
        <v>-34335.108000000007</v>
      </c>
      <c r="S26" t="s">
        <v>200</v>
      </c>
      <c r="U26" s="230">
        <f>P25-U25</f>
        <v>40595.259000000005</v>
      </c>
      <c r="V26" t="s">
        <v>196</v>
      </c>
      <c r="X26" s="420" t="s">
        <v>230</v>
      </c>
      <c r="Y26" s="420"/>
      <c r="Z26" s="456">
        <f>D26</f>
        <v>4.93</v>
      </c>
      <c r="AA26" s="420"/>
      <c r="AB26" s="9"/>
      <c r="AC26" s="320">
        <f t="shared" ref="AC26:AC31" si="12">K26</f>
        <v>6260.1509999999998</v>
      </c>
      <c r="AD26" s="315"/>
    </row>
    <row r="27" spans="1:30" ht="25.5" customHeight="1" thickBot="1" x14ac:dyDescent="0.25">
      <c r="A27" s="427"/>
      <c r="B27" s="425"/>
      <c r="C27" s="360" t="s">
        <v>263</v>
      </c>
      <c r="D27" s="433"/>
      <c r="E27" s="435"/>
      <c r="F27" s="425"/>
      <c r="G27" s="429"/>
      <c r="H27" s="449"/>
      <c r="I27" s="118" t="s">
        <v>11</v>
      </c>
      <c r="J27" s="117"/>
      <c r="K27" s="117">
        <v>34505.936000000002</v>
      </c>
      <c r="L27" s="288"/>
      <c r="M27" s="453"/>
      <c r="N27" s="296">
        <f>K27</f>
        <v>34505.936000000002</v>
      </c>
      <c r="O27" s="117">
        <f t="shared" si="11"/>
        <v>0</v>
      </c>
      <c r="P27" s="136"/>
      <c r="R27" s="175"/>
      <c r="U27" s="230"/>
      <c r="X27" s="421"/>
      <c r="Y27" s="421"/>
      <c r="Z27" s="421"/>
      <c r="AA27" s="421"/>
      <c r="AB27" s="9"/>
      <c r="AC27" s="320">
        <f t="shared" si="12"/>
        <v>34505.936000000002</v>
      </c>
      <c r="AD27" s="315"/>
    </row>
    <row r="28" spans="1:30" ht="55.5" customHeight="1" thickBot="1" x14ac:dyDescent="0.25">
      <c r="A28" s="245">
        <v>19</v>
      </c>
      <c r="B28" s="246" t="s">
        <v>45</v>
      </c>
      <c r="C28" s="359" t="s">
        <v>177</v>
      </c>
      <c r="D28" s="247">
        <v>4.9340000000000002</v>
      </c>
      <c r="E28" s="247">
        <v>31.934999999999999</v>
      </c>
      <c r="F28" s="246" t="s">
        <v>13</v>
      </c>
      <c r="G28" s="429"/>
      <c r="H28" s="114" t="s">
        <v>16</v>
      </c>
      <c r="I28" s="267" t="s">
        <v>10</v>
      </c>
      <c r="J28" s="249">
        <v>49506.802280000004</v>
      </c>
      <c r="K28" s="249">
        <v>40595.258999999998</v>
      </c>
      <c r="L28" s="249">
        <f t="shared" si="6"/>
        <v>8911.5432800000053</v>
      </c>
      <c r="M28" s="345">
        <v>44411</v>
      </c>
      <c r="N28" s="296">
        <f>20557.216+20038.043</f>
        <v>40595.259000000005</v>
      </c>
      <c r="O28" s="117">
        <f t="shared" si="11"/>
        <v>0</v>
      </c>
      <c r="P28" s="136" t="s">
        <v>197</v>
      </c>
      <c r="Q28" s="2"/>
      <c r="R28" s="175">
        <f>R26+R24+K28</f>
        <v>27657.34399999999</v>
      </c>
      <c r="U28" s="230">
        <f>U26+U25</f>
        <v>70186.720000000001</v>
      </c>
      <c r="X28" s="9" t="s">
        <v>230</v>
      </c>
      <c r="Y28" s="314"/>
      <c r="Z28" s="319">
        <f>D28</f>
        <v>4.9340000000000002</v>
      </c>
      <c r="AA28" s="314"/>
      <c r="AB28" s="314"/>
      <c r="AC28" s="320">
        <f t="shared" si="12"/>
        <v>40595.258999999998</v>
      </c>
      <c r="AD28" s="314"/>
    </row>
    <row r="29" spans="1:30" s="180" customFormat="1" ht="24.75" customHeight="1" thickBot="1" x14ac:dyDescent="0.25">
      <c r="A29" s="268"/>
      <c r="B29" s="269" t="s">
        <v>184</v>
      </c>
      <c r="C29" s="269"/>
      <c r="D29" s="270">
        <f>SUM(D24:D28)</f>
        <v>14.914000000000001</v>
      </c>
      <c r="E29" s="270">
        <f>SUM(E24:E28)</f>
        <v>104.589</v>
      </c>
      <c r="F29" s="270"/>
      <c r="G29" s="335"/>
      <c r="H29" s="270"/>
      <c r="I29" s="270"/>
      <c r="J29" s="271">
        <f>SUM(J24:J28)</f>
        <v>161403.70668999999</v>
      </c>
      <c r="K29" s="271">
        <f>SUM(K24:K28)</f>
        <v>132350</v>
      </c>
      <c r="L29" s="271">
        <f t="shared" ref="L29:O29" si="13">SUM(L24:L28)</f>
        <v>63559.642690000001</v>
      </c>
      <c r="M29" s="271"/>
      <c r="N29" s="271">
        <f t="shared" si="13"/>
        <v>132350</v>
      </c>
      <c r="O29" s="271">
        <f t="shared" si="13"/>
        <v>0</v>
      </c>
      <c r="P29" s="292">
        <f>N29+O29</f>
        <v>132350</v>
      </c>
      <c r="X29" s="315"/>
      <c r="Y29" s="315"/>
      <c r="Z29" s="316"/>
      <c r="AA29" s="315"/>
      <c r="AB29" s="9"/>
      <c r="AC29" s="320"/>
      <c r="AD29" s="315"/>
    </row>
    <row r="30" spans="1:30" ht="23.25" customHeight="1" thickBot="1" x14ac:dyDescent="0.25">
      <c r="A30" s="375">
        <v>20</v>
      </c>
      <c r="B30" s="377" t="s">
        <v>187</v>
      </c>
      <c r="C30" s="353" t="s">
        <v>177</v>
      </c>
      <c r="D30" s="379">
        <v>2.294</v>
      </c>
      <c r="E30" s="381">
        <v>16.582000000000001</v>
      </c>
      <c r="F30" s="377" t="s">
        <v>8</v>
      </c>
      <c r="G30" s="430" t="s">
        <v>237</v>
      </c>
      <c r="H30" s="408" t="s">
        <v>19</v>
      </c>
      <c r="I30" s="160" t="s">
        <v>10</v>
      </c>
      <c r="J30" s="157">
        <v>14982.932210000001</v>
      </c>
      <c r="K30" s="157">
        <v>11461.943139999999</v>
      </c>
      <c r="L30" s="39">
        <f t="shared" si="6"/>
        <v>3520.9890700000014</v>
      </c>
      <c r="M30" s="454">
        <v>44435</v>
      </c>
      <c r="N30" s="300">
        <f>9823.89364+1638.0495</f>
        <v>11461.943139999999</v>
      </c>
      <c r="O30" s="157">
        <f>K30-N30</f>
        <v>0</v>
      </c>
      <c r="W30" s="175">
        <v>1638.0495000000001</v>
      </c>
      <c r="X30" s="420" t="s">
        <v>230</v>
      </c>
      <c r="Y30" s="420"/>
      <c r="Z30" s="456">
        <f>D30</f>
        <v>2.294</v>
      </c>
      <c r="AA30" s="420"/>
      <c r="AB30" s="9"/>
      <c r="AC30" s="320">
        <f t="shared" si="12"/>
        <v>11461.943139999999</v>
      </c>
      <c r="AD30" s="315"/>
    </row>
    <row r="31" spans="1:30" ht="25.5" customHeight="1" thickBot="1" x14ac:dyDescent="0.25">
      <c r="A31" s="376"/>
      <c r="B31" s="378"/>
      <c r="C31" s="354"/>
      <c r="D31" s="380"/>
      <c r="E31" s="382"/>
      <c r="F31" s="378"/>
      <c r="G31" s="431"/>
      <c r="H31" s="409"/>
      <c r="I31" s="162" t="s">
        <v>11</v>
      </c>
      <c r="J31" s="158">
        <v>14070.775</v>
      </c>
      <c r="K31" s="158">
        <f>10764.14287+1490.6961</f>
        <v>12254.838969999999</v>
      </c>
      <c r="L31" s="43">
        <f t="shared" si="6"/>
        <v>1815.9360300000008</v>
      </c>
      <c r="M31" s="455"/>
      <c r="N31" s="300">
        <v>12254.838970000001</v>
      </c>
      <c r="O31" s="158">
        <f t="shared" ref="O31:O34" si="14">K31-N31</f>
        <v>0</v>
      </c>
      <c r="R31" s="175">
        <f>J34-K34</f>
        <v>0</v>
      </c>
      <c r="W31" s="175"/>
      <c r="X31" s="421"/>
      <c r="Y31" s="421"/>
      <c r="Z31" s="421"/>
      <c r="AA31" s="421"/>
      <c r="AB31" s="9"/>
      <c r="AC31" s="320">
        <f t="shared" si="12"/>
        <v>12254.838969999999</v>
      </c>
      <c r="AD31" s="315"/>
    </row>
    <row r="32" spans="1:30" ht="23.25" customHeight="1" x14ac:dyDescent="0.2">
      <c r="A32" s="375">
        <v>21</v>
      </c>
      <c r="B32" s="377" t="s">
        <v>206</v>
      </c>
      <c r="C32" s="353" t="s">
        <v>169</v>
      </c>
      <c r="D32" s="379">
        <v>1.03</v>
      </c>
      <c r="E32" s="381">
        <v>7.6029999999999998</v>
      </c>
      <c r="F32" s="377" t="s">
        <v>8</v>
      </c>
      <c r="G32" s="430" t="s">
        <v>238</v>
      </c>
      <c r="H32" s="408" t="s">
        <v>17</v>
      </c>
      <c r="I32" s="160" t="s">
        <v>10</v>
      </c>
      <c r="J32" s="157">
        <v>14982.932210000001</v>
      </c>
      <c r="K32" s="157">
        <f>2746.37156+774.61751</f>
        <v>3520.9890700000001</v>
      </c>
      <c r="L32" s="39">
        <f t="shared" ref="L32:L33" si="15">J32-K32</f>
        <v>11461.943140000001</v>
      </c>
      <c r="M32" s="457">
        <v>44447</v>
      </c>
      <c r="N32" s="299">
        <v>3520.9890700000001</v>
      </c>
      <c r="O32" s="157">
        <f t="shared" si="14"/>
        <v>0</v>
      </c>
      <c r="W32" s="175"/>
      <c r="X32" s="420" t="s">
        <v>229</v>
      </c>
      <c r="Y32" s="456">
        <f>D32</f>
        <v>1.03</v>
      </c>
      <c r="Z32" s="420"/>
      <c r="AA32" s="420"/>
      <c r="AB32" s="320">
        <f>K32</f>
        <v>3520.9890700000001</v>
      </c>
      <c r="AC32" s="320"/>
      <c r="AD32" s="315"/>
    </row>
    <row r="33" spans="1:30" ht="23.25" customHeight="1" thickBot="1" x14ac:dyDescent="0.25">
      <c r="A33" s="376"/>
      <c r="B33" s="378"/>
      <c r="C33" s="354"/>
      <c r="D33" s="380"/>
      <c r="E33" s="382"/>
      <c r="F33" s="378"/>
      <c r="G33" s="431"/>
      <c r="H33" s="409"/>
      <c r="I33" s="162" t="s">
        <v>11</v>
      </c>
      <c r="J33" s="158">
        <v>14070.775</v>
      </c>
      <c r="K33" s="158">
        <v>5285.1960300000001</v>
      </c>
      <c r="L33" s="43">
        <f t="shared" si="15"/>
        <v>8785.5789699999987</v>
      </c>
      <c r="M33" s="458"/>
      <c r="N33" s="299">
        <v>5285.1960300000001</v>
      </c>
      <c r="O33" s="158">
        <f t="shared" si="14"/>
        <v>0</v>
      </c>
      <c r="R33" s="175">
        <f>J36-K36</f>
        <v>-381000</v>
      </c>
      <c r="X33" s="421"/>
      <c r="Y33" s="421"/>
      <c r="Z33" s="421"/>
      <c r="AA33" s="421"/>
      <c r="AB33" s="320">
        <f>K33</f>
        <v>5285.1960300000001</v>
      </c>
      <c r="AC33" s="320"/>
      <c r="AD33" s="315"/>
    </row>
    <row r="34" spans="1:30" ht="30" customHeight="1" thickBot="1" x14ac:dyDescent="0.25">
      <c r="A34" s="48">
        <v>22</v>
      </c>
      <c r="B34" s="49" t="s">
        <v>36</v>
      </c>
      <c r="C34" s="49"/>
      <c r="D34" s="58" t="s">
        <v>37</v>
      </c>
      <c r="E34" s="58" t="s">
        <v>37</v>
      </c>
      <c r="F34" s="58" t="s">
        <v>37</v>
      </c>
      <c r="G34" s="58" t="s">
        <v>37</v>
      </c>
      <c r="H34" s="59"/>
      <c r="I34" s="173" t="s">
        <v>10</v>
      </c>
      <c r="J34" s="174">
        <v>2229.5823299999997</v>
      </c>
      <c r="K34" s="174">
        <f>2263.90314-34.32081</f>
        <v>2229.5823299999997</v>
      </c>
      <c r="L34" s="53">
        <f>J34-K34</f>
        <v>0</v>
      </c>
      <c r="M34" s="280"/>
      <c r="N34" s="158">
        <f>J34</f>
        <v>2229.5823299999997</v>
      </c>
      <c r="O34" s="174">
        <f t="shared" si="14"/>
        <v>0</v>
      </c>
    </row>
    <row r="35" spans="1:30" ht="20.25" customHeight="1" x14ac:dyDescent="0.2">
      <c r="A35" s="54"/>
      <c r="B35" s="336" t="s">
        <v>186</v>
      </c>
      <c r="C35" s="336"/>
      <c r="D35" s="337">
        <f>D29+D23+D22+D21+D10+D30+D32</f>
        <v>80.774000000000001</v>
      </c>
      <c r="E35" s="337">
        <f>E29+E23+E22+E21+E10+E30+E32</f>
        <v>543.74599999999998</v>
      </c>
      <c r="F35" s="338"/>
      <c r="G35" s="339"/>
      <c r="H35" s="340"/>
      <c r="I35" s="341" t="s">
        <v>20</v>
      </c>
      <c r="J35" s="342"/>
      <c r="K35" s="342">
        <f>K10+K21+K22+K23+K29+K30+K31+K34+K32+K33</f>
        <v>651000</v>
      </c>
      <c r="L35" s="342">
        <f>L10+L21+L22+L23+L29+L30+L31+L34+L32+L33</f>
        <v>253982.73630000002</v>
      </c>
      <c r="M35" s="343">
        <f>N35/K35</f>
        <v>1</v>
      </c>
      <c r="N35" s="342">
        <f>N10+N21+N22+N23+N29+N30+N31+N34+N32+N33</f>
        <v>651000</v>
      </c>
      <c r="O35" s="342">
        <f>O10+O21+O22+O23+O29+O30+O31+O34+O32+O33</f>
        <v>0</v>
      </c>
      <c r="P35" s="293">
        <f>N35+O35</f>
        <v>651000</v>
      </c>
      <c r="X35" s="65"/>
      <c r="Y35" s="323">
        <f t="shared" ref="Y35:AD35" si="16">SUM(Y5:Y33)</f>
        <v>8.01</v>
      </c>
      <c r="Z35" s="323">
        <f t="shared" si="16"/>
        <v>64.771000000000001</v>
      </c>
      <c r="AA35" s="323">
        <f t="shared" si="16"/>
        <v>7.9930000000000003</v>
      </c>
      <c r="AB35" s="324">
        <f t="shared" si="16"/>
        <v>123404.8501</v>
      </c>
      <c r="AC35" s="324">
        <f t="shared" si="16"/>
        <v>526556.32711000007</v>
      </c>
      <c r="AD35" s="324">
        <f t="shared" si="16"/>
        <v>45585.691460000002</v>
      </c>
    </row>
    <row r="36" spans="1:30" ht="18" hidden="1" customHeight="1" x14ac:dyDescent="0.2">
      <c r="A36" s="24"/>
      <c r="B36" s="24"/>
      <c r="C36" s="24"/>
      <c r="D36" s="24"/>
      <c r="E36" s="24"/>
      <c r="F36" s="9"/>
      <c r="G36" s="8"/>
      <c r="H36" s="8"/>
      <c r="I36" s="17" t="s">
        <v>10</v>
      </c>
      <c r="J36" s="16"/>
      <c r="K36" s="16">
        <f>K5+K6+K7+K8+K9+K11+K22+K23+K24+K26+K28+K30+K32+K34</f>
        <v>381000</v>
      </c>
      <c r="L36" s="16">
        <f>L5+L6+L8+L9+L11+L22+L23+L24+L26+L28+L30+L32+L34+L7</f>
        <v>162673.8811</v>
      </c>
      <c r="M36" s="303">
        <f t="shared" ref="M36:M38" si="17">N36/K36</f>
        <v>1.0000000000000002</v>
      </c>
      <c r="N36" s="16">
        <f>N5+N6+N8+N9+N11+N22+N23+N24+N26+N28+N30+N32+N34+N7</f>
        <v>381000.00000000006</v>
      </c>
      <c r="O36" s="16">
        <f>O5+O6+O8+O9+O11+O22+O23+O24+O26+O28+O30+O32+O34+O7</f>
        <v>0</v>
      </c>
      <c r="X36" s="317" t="s">
        <v>185</v>
      </c>
      <c r="Y36" s="459">
        <f>SUM(Y35:AA35)</f>
        <v>80.774000000000001</v>
      </c>
      <c r="Z36" s="460"/>
      <c r="AA36" s="461"/>
      <c r="AB36" s="459">
        <f>SUM(AB35:AD35)</f>
        <v>695546.86867000011</v>
      </c>
      <c r="AC36" s="460"/>
      <c r="AD36" s="461"/>
    </row>
    <row r="37" spans="1:30" ht="18.75" hidden="1" customHeight="1" x14ac:dyDescent="0.2">
      <c r="A37" s="4"/>
      <c r="B37" s="5"/>
      <c r="C37" s="5"/>
      <c r="D37" s="328"/>
      <c r="E37" s="329"/>
      <c r="F37" s="9"/>
      <c r="G37" s="8"/>
      <c r="H37" s="8"/>
      <c r="I37" s="17" t="s">
        <v>11</v>
      </c>
      <c r="J37" s="16"/>
      <c r="K37" s="16"/>
      <c r="L37" s="16">
        <f>L12+L13+L14+L15+L16+L17+L18+L19+L20+L25+L27+L31+L33</f>
        <v>91308.85520000002</v>
      </c>
      <c r="M37" s="303" t="e">
        <f t="shared" si="17"/>
        <v>#DIV/0!</v>
      </c>
      <c r="N37" s="16">
        <f>N12+N13+N14+N15+N16+N17+N18+N19+N20+N25+N27+N31+N33</f>
        <v>269999.99999999994</v>
      </c>
      <c r="O37" s="16">
        <f>O12+O13+O14+O15+O16+O17+O18+O19+O20+O25+O27+O31+O33</f>
        <v>0</v>
      </c>
      <c r="P37" s="136" t="e">
        <f>K25+K27+#REF!</f>
        <v>#REF!</v>
      </c>
      <c r="Q37" t="s">
        <v>191</v>
      </c>
      <c r="X37" s="318"/>
      <c r="Y37" s="318"/>
      <c r="Z37" s="318"/>
      <c r="AA37" s="318"/>
      <c r="AB37" s="321"/>
      <c r="AC37" s="322">
        <f>AB36+K34</f>
        <v>697776.45100000012</v>
      </c>
      <c r="AD37" s="318"/>
    </row>
    <row r="38" spans="1:30" ht="24.75" hidden="1" customHeight="1" thickBot="1" x14ac:dyDescent="0.25">
      <c r="A38" s="4"/>
      <c r="B38" s="5"/>
      <c r="C38" s="5"/>
      <c r="D38" s="330" t="s">
        <v>234</v>
      </c>
      <c r="E38" s="331">
        <f>D5+D6+D7+D8+D9+D21+D22+D23+D24+D26+D28</f>
        <v>77.449999999999989</v>
      </c>
      <c r="F38" s="21"/>
      <c r="G38" s="19"/>
      <c r="H38" s="19"/>
      <c r="I38" s="20"/>
      <c r="J38" s="16" t="s">
        <v>185</v>
      </c>
      <c r="K38" s="16">
        <f>K36+K37</f>
        <v>381000</v>
      </c>
      <c r="L38" s="16">
        <f t="shared" ref="L38:N38" si="18">L36+L37</f>
        <v>253982.73630000002</v>
      </c>
      <c r="M38" s="303">
        <f t="shared" si="17"/>
        <v>1.7086614173228347</v>
      </c>
      <c r="N38" s="16">
        <f t="shared" si="18"/>
        <v>651000</v>
      </c>
      <c r="O38" s="16">
        <f t="shared" ref="O38" si="19">O36+O37</f>
        <v>0</v>
      </c>
      <c r="P38" s="136">
        <f>K24+K26+K28</f>
        <v>68252.603000000003</v>
      </c>
      <c r="Q38" t="s">
        <v>190</v>
      </c>
    </row>
    <row r="39" spans="1:30" ht="19.5" hidden="1" customHeight="1" outlineLevel="1" thickBot="1" x14ac:dyDescent="0.25">
      <c r="A39" s="4"/>
      <c r="B39" s="5"/>
      <c r="C39" s="106"/>
      <c r="D39" s="63"/>
      <c r="E39" s="6"/>
      <c r="F39" s="71"/>
      <c r="G39" s="79" t="s">
        <v>18</v>
      </c>
      <c r="H39" s="78" t="s">
        <v>47</v>
      </c>
      <c r="I39" s="190" t="s">
        <v>48</v>
      </c>
      <c r="J39" s="194"/>
      <c r="K39" s="195"/>
      <c r="L39" s="195"/>
      <c r="M39" s="281"/>
      <c r="N39" s="195"/>
      <c r="O39" s="302"/>
    </row>
    <row r="40" spans="1:30" hidden="1" outlineLevel="1" x14ac:dyDescent="0.2">
      <c r="A40" s="4"/>
      <c r="B40" s="2"/>
      <c r="C40" s="22"/>
      <c r="D40" s="26"/>
      <c r="E40" s="65"/>
      <c r="F40" s="65" t="s">
        <v>49</v>
      </c>
      <c r="G40" s="80">
        <f t="shared" ref="G40:G43" si="20">H40+I40</f>
        <v>300</v>
      </c>
      <c r="H40" s="72">
        <v>300</v>
      </c>
      <c r="I40" s="191">
        <v>0</v>
      </c>
      <c r="J40" s="196"/>
      <c r="K40" s="197"/>
      <c r="L40" s="197"/>
      <c r="M40" s="282"/>
      <c r="N40" s="197"/>
      <c r="O40" s="199"/>
    </row>
    <row r="41" spans="1:30" hidden="1" outlineLevel="1" x14ac:dyDescent="0.2">
      <c r="A41" s="4"/>
      <c r="B41" s="240" t="s">
        <v>202</v>
      </c>
      <c r="C41" s="366"/>
      <c r="D41" s="26"/>
      <c r="E41" s="65"/>
      <c r="F41" s="65" t="s">
        <v>50</v>
      </c>
      <c r="G41" s="81">
        <f t="shared" si="20"/>
        <v>270</v>
      </c>
      <c r="H41" s="67">
        <v>270</v>
      </c>
      <c r="I41" s="192">
        <v>0</v>
      </c>
      <c r="J41" s="196"/>
      <c r="K41" s="197"/>
      <c r="L41" s="197"/>
      <c r="M41" s="282"/>
      <c r="N41" s="197"/>
      <c r="O41" s="199"/>
      <c r="R41" s="175">
        <f>O35+N35</f>
        <v>651000</v>
      </c>
    </row>
    <row r="42" spans="1:30" hidden="1" outlineLevel="1" x14ac:dyDescent="0.2">
      <c r="A42" s="4"/>
      <c r="B42" s="241">
        <f>K12+K14+K16+K19</f>
        <v>58698.426999999996</v>
      </c>
      <c r="C42" s="367"/>
      <c r="D42" s="26"/>
      <c r="E42" s="65"/>
      <c r="F42" s="65" t="s">
        <v>51</v>
      </c>
      <c r="G42" s="81">
        <f t="shared" si="20"/>
        <v>70</v>
      </c>
      <c r="H42" s="67">
        <v>70</v>
      </c>
      <c r="I42" s="192">
        <v>0</v>
      </c>
      <c r="J42" s="196"/>
      <c r="K42" s="197"/>
      <c r="L42" s="197"/>
      <c r="M42" s="8"/>
      <c r="N42" s="8"/>
      <c r="O42" s="199"/>
      <c r="P42" s="136">
        <f>K24+K25</f>
        <v>50988.653999999995</v>
      </c>
      <c r="Q42">
        <v>1</v>
      </c>
      <c r="R42" s="175">
        <f>R41-K35</f>
        <v>0</v>
      </c>
    </row>
    <row r="43" spans="1:30" hidden="1" outlineLevel="1" x14ac:dyDescent="0.2">
      <c r="A43" s="4"/>
      <c r="B43" s="239" t="s">
        <v>201</v>
      </c>
      <c r="C43" s="368"/>
      <c r="D43" s="26"/>
      <c r="E43" s="65"/>
      <c r="F43" s="65" t="s">
        <v>52</v>
      </c>
      <c r="G43" s="81">
        <f t="shared" si="20"/>
        <v>50</v>
      </c>
      <c r="H43" s="67">
        <v>50</v>
      </c>
      <c r="I43" s="192">
        <v>0</v>
      </c>
      <c r="J43" s="196"/>
      <c r="K43" s="197">
        <f>K11+K23</f>
        <v>38260.464240000001</v>
      </c>
      <c r="L43" s="197"/>
      <c r="M43" s="282"/>
      <c r="N43" s="197"/>
      <c r="O43" s="199"/>
      <c r="P43" s="136">
        <f>K26+K27</f>
        <v>40766.087</v>
      </c>
      <c r="Q43">
        <v>2</v>
      </c>
    </row>
    <row r="44" spans="1:30" hidden="1" outlineLevel="1" x14ac:dyDescent="0.2">
      <c r="A44" s="4"/>
      <c r="B44" s="242">
        <f>K20+K15+K13+K25-3469.26+10059.217</f>
        <v>110426.69500000001</v>
      </c>
      <c r="C44" s="369"/>
      <c r="D44" s="26"/>
      <c r="E44" s="65"/>
      <c r="F44" s="65" t="s">
        <v>14</v>
      </c>
      <c r="G44" s="82">
        <f>H44+I44</f>
        <v>147882.47957499998</v>
      </c>
      <c r="H44" s="66">
        <f>K5/2+K11+K22+K23+200</f>
        <v>111440.64057499998</v>
      </c>
      <c r="I44" s="192">
        <f>K12+K14</f>
        <v>36441.839</v>
      </c>
      <c r="J44" s="196"/>
      <c r="K44" s="197"/>
      <c r="L44" s="197"/>
      <c r="M44" s="8"/>
      <c r="N44" s="289"/>
      <c r="O44" s="199"/>
      <c r="P44" s="136" t="e">
        <f>K28+#REF!</f>
        <v>#REF!</v>
      </c>
      <c r="Q44">
        <v>3</v>
      </c>
    </row>
    <row r="45" spans="1:30" hidden="1" outlineLevel="1" x14ac:dyDescent="0.2">
      <c r="A45" s="4"/>
      <c r="B45" s="291"/>
      <c r="C45" s="370"/>
      <c r="D45" s="26"/>
      <c r="E45" s="65"/>
      <c r="F45" s="65" t="s">
        <v>15</v>
      </c>
      <c r="G45" s="82">
        <f t="shared" ref="G45:G51" si="21">H45+I45</f>
        <v>101606.73011500001</v>
      </c>
      <c r="H45" s="66">
        <f>K5/2+300</f>
        <v>65905.758115000004</v>
      </c>
      <c r="I45" s="192">
        <f>K16+K19+K20</f>
        <v>35700.972000000002</v>
      </c>
      <c r="J45" s="196"/>
      <c r="K45" s="197"/>
      <c r="L45" s="197"/>
      <c r="M45" s="282"/>
      <c r="N45" s="197"/>
      <c r="O45" s="199"/>
    </row>
    <row r="46" spans="1:30" hidden="1" outlineLevel="1" x14ac:dyDescent="0.2">
      <c r="A46" s="4"/>
      <c r="B46" s="2"/>
      <c r="C46" s="22"/>
      <c r="D46" s="26"/>
      <c r="E46" s="65"/>
      <c r="F46" s="65" t="s">
        <v>16</v>
      </c>
      <c r="G46" s="82">
        <f t="shared" si="21"/>
        <v>314518.17836999998</v>
      </c>
      <c r="H46" s="66">
        <f>K6+K7+K9+150+K24+K26</f>
        <v>128111.70137</v>
      </c>
      <c r="I46" s="192">
        <f>K13+K15+K25+K28+K17+K18</f>
        <v>186406.47699999998</v>
      </c>
      <c r="J46" s="196"/>
      <c r="K46" s="197"/>
      <c r="L46" s="197"/>
      <c r="M46" s="282"/>
      <c r="N46" s="197"/>
      <c r="O46" s="199"/>
    </row>
    <row r="47" spans="1:30" hidden="1" outlineLevel="1" x14ac:dyDescent="0.2">
      <c r="A47" s="4"/>
      <c r="B47" s="2"/>
      <c r="C47" s="22"/>
      <c r="D47" s="26"/>
      <c r="E47" s="65"/>
      <c r="F47" s="65" t="s">
        <v>19</v>
      </c>
      <c r="G47" s="82">
        <f t="shared" si="21"/>
        <v>42140.908510000001</v>
      </c>
      <c r="H47" s="66">
        <f>K8+40+K30</f>
        <v>29886.06954</v>
      </c>
      <c r="I47" s="192">
        <f>K31</f>
        <v>12254.838969999999</v>
      </c>
      <c r="J47" s="196"/>
      <c r="K47" s="197"/>
      <c r="L47" s="197"/>
      <c r="M47" s="282"/>
      <c r="N47" s="197"/>
      <c r="O47" s="199"/>
    </row>
    <row r="48" spans="1:30" hidden="1" outlineLevel="1" x14ac:dyDescent="0.2">
      <c r="A48" s="4"/>
      <c r="B48" s="2"/>
      <c r="C48" s="22"/>
      <c r="D48" s="26"/>
      <c r="E48" s="65"/>
      <c r="F48" s="65" t="s">
        <v>17</v>
      </c>
      <c r="G48" s="82">
        <f t="shared" si="21"/>
        <v>215.68233000000001</v>
      </c>
      <c r="H48" s="66">
        <f>250-34.31767</f>
        <v>215.68233000000001</v>
      </c>
      <c r="I48" s="192">
        <v>0</v>
      </c>
      <c r="J48" s="196"/>
      <c r="K48" s="197">
        <v>651000</v>
      </c>
      <c r="L48" s="197"/>
      <c r="M48" s="282"/>
      <c r="N48" s="197"/>
      <c r="O48" s="199"/>
    </row>
    <row r="49" spans="1:15" hidden="1" outlineLevel="1" x14ac:dyDescent="0.2">
      <c r="A49" s="4"/>
      <c r="B49" s="2"/>
      <c r="C49" s="22"/>
      <c r="D49" s="26"/>
      <c r="E49" s="65"/>
      <c r="F49" s="65" t="s">
        <v>53</v>
      </c>
      <c r="G49" s="81">
        <f t="shared" si="21"/>
        <v>200</v>
      </c>
      <c r="H49" s="67">
        <v>200</v>
      </c>
      <c r="I49" s="192">
        <v>0</v>
      </c>
      <c r="J49" s="196"/>
      <c r="K49" s="197"/>
      <c r="L49" s="197"/>
      <c r="M49" s="282"/>
      <c r="N49" s="197"/>
      <c r="O49" s="199"/>
    </row>
    <row r="50" spans="1:15" hidden="1" outlineLevel="1" x14ac:dyDescent="0.2">
      <c r="A50" s="4"/>
      <c r="B50" s="2"/>
      <c r="C50" s="22"/>
      <c r="D50" s="26"/>
      <c r="E50" s="65"/>
      <c r="F50" s="65" t="s">
        <v>54</v>
      </c>
      <c r="G50" s="81">
        <f t="shared" si="21"/>
        <v>183.9</v>
      </c>
      <c r="H50" s="67">
        <v>183.9</v>
      </c>
      <c r="I50" s="192">
        <v>0</v>
      </c>
      <c r="J50" s="196"/>
      <c r="K50" s="197"/>
      <c r="L50" s="197"/>
      <c r="M50" s="282"/>
      <c r="N50" s="197"/>
      <c r="O50" s="199"/>
    </row>
    <row r="51" spans="1:15" hidden="1" outlineLevel="1" x14ac:dyDescent="0.2">
      <c r="A51" s="4"/>
      <c r="B51" s="2"/>
      <c r="C51" s="22"/>
      <c r="D51" s="26"/>
      <c r="E51" s="65"/>
      <c r="F51" s="65" t="s">
        <v>55</v>
      </c>
      <c r="G51" s="81">
        <f t="shared" si="21"/>
        <v>250</v>
      </c>
      <c r="H51" s="67">
        <v>250</v>
      </c>
      <c r="I51" s="192">
        <v>0</v>
      </c>
      <c r="J51" s="196"/>
      <c r="K51" s="197"/>
      <c r="L51" s="197"/>
      <c r="M51" s="282"/>
      <c r="N51" s="197"/>
      <c r="O51" s="199"/>
    </row>
    <row r="52" spans="1:15" hidden="1" outlineLevel="1" x14ac:dyDescent="0.2">
      <c r="A52" s="4"/>
      <c r="B52" s="2"/>
      <c r="C52" s="22"/>
      <c r="D52" s="22"/>
      <c r="E52" s="68"/>
      <c r="F52" s="68" t="s">
        <v>18</v>
      </c>
      <c r="G52" s="83">
        <f>G40+G41+G42+G43+G44+G45+G46+G47+G48+G49+G50+G51</f>
        <v>607687.87890000001</v>
      </c>
      <c r="H52" s="69">
        <f t="shared" ref="H52:I52" si="22">H40+H41+H42+H43+H44+H45+H46+H47+H48+H49+H50+H51</f>
        <v>336883.75192999997</v>
      </c>
      <c r="I52" s="193">
        <f t="shared" si="22"/>
        <v>270804.12696999998</v>
      </c>
      <c r="J52" s="198"/>
      <c r="K52" s="199"/>
      <c r="L52" s="199"/>
      <c r="M52" s="283"/>
      <c r="N52" s="199"/>
      <c r="O52" s="199"/>
    </row>
    <row r="53" spans="1:15" ht="13.5" hidden="1" outlineLevel="1" thickBot="1" x14ac:dyDescent="0.25">
      <c r="A53" s="4"/>
      <c r="B53" s="2"/>
      <c r="C53" s="2"/>
      <c r="D53" s="2"/>
      <c r="E53" s="23"/>
      <c r="F53" s="406"/>
      <c r="G53" s="407"/>
      <c r="H53" s="404">
        <f>H52+I52</f>
        <v>607687.87889999989</v>
      </c>
      <c r="I53" s="405"/>
      <c r="J53" s="200"/>
      <c r="K53" s="199"/>
      <c r="L53" s="199"/>
      <c r="M53" s="283"/>
      <c r="N53" s="199"/>
      <c r="O53" s="199"/>
    </row>
    <row r="54" spans="1:15" ht="30.75" hidden="1" customHeight="1" x14ac:dyDescent="0.25">
      <c r="D54" s="327" t="s">
        <v>235</v>
      </c>
      <c r="E54" s="332">
        <f>D35-E38</f>
        <v>3.3240000000000123</v>
      </c>
    </row>
    <row r="56" spans="1:15" ht="15" x14ac:dyDescent="0.2">
      <c r="B56" s="363" t="s">
        <v>245</v>
      </c>
      <c r="C56" s="374"/>
      <c r="D56" s="62">
        <f>D33+D32+D5</f>
        <v>15.564</v>
      </c>
      <c r="N56" s="62">
        <f>N33+N32+N5</f>
        <v>140017.70133000001</v>
      </c>
    </row>
    <row r="57" spans="1:15" ht="15" x14ac:dyDescent="0.2">
      <c r="B57" s="363" t="s">
        <v>246</v>
      </c>
      <c r="C57" s="374"/>
      <c r="D57" s="62">
        <f>D31+D30+D28+D25+D24</f>
        <v>12.277999999999999</v>
      </c>
      <c r="N57" s="62">
        <f>N31+N30+N28+N25+N24</f>
        <v>115300.69511</v>
      </c>
    </row>
    <row r="58" spans="1:15" ht="15" x14ac:dyDescent="0.2">
      <c r="B58" s="363" t="s">
        <v>247</v>
      </c>
      <c r="C58" s="371"/>
      <c r="D58" s="62">
        <v>0</v>
      </c>
      <c r="N58" s="1">
        <f>0</f>
        <v>0</v>
      </c>
    </row>
    <row r="59" spans="1:15" ht="15" x14ac:dyDescent="0.2">
      <c r="B59" s="363" t="s">
        <v>248</v>
      </c>
      <c r="C59" s="371"/>
      <c r="D59" s="371">
        <f>D6</f>
        <v>3.34</v>
      </c>
      <c r="N59" s="62">
        <f>N6</f>
        <v>25546.237499999999</v>
      </c>
    </row>
    <row r="60" spans="1:15" ht="15" x14ac:dyDescent="0.2">
      <c r="B60" s="363" t="s">
        <v>249</v>
      </c>
      <c r="C60" s="371"/>
      <c r="D60" s="62">
        <v>0</v>
      </c>
      <c r="N60" s="1">
        <f>0</f>
        <v>0</v>
      </c>
    </row>
    <row r="61" spans="1:15" ht="15" x14ac:dyDescent="0.2">
      <c r="B61" s="363" t="s">
        <v>250</v>
      </c>
      <c r="C61" s="371"/>
      <c r="D61" s="62">
        <f>D7</f>
        <v>2.7829999999999999</v>
      </c>
      <c r="N61" s="62">
        <f>N7</f>
        <v>24794.715640000002</v>
      </c>
    </row>
    <row r="62" spans="1:15" ht="15" x14ac:dyDescent="0.2">
      <c r="B62" s="363" t="s">
        <v>251</v>
      </c>
      <c r="C62" s="371"/>
      <c r="D62" s="62">
        <f>D26</f>
        <v>4.93</v>
      </c>
      <c r="N62" s="62">
        <f>N27+N26</f>
        <v>40766.087</v>
      </c>
    </row>
    <row r="63" spans="1:15" ht="15" x14ac:dyDescent="0.2">
      <c r="B63" s="363" t="s">
        <v>252</v>
      </c>
      <c r="C63" s="371"/>
      <c r="D63" s="62">
        <f t="shared" ref="D63" si="23">D40+D39+D12</f>
        <v>0</v>
      </c>
      <c r="N63" s="1">
        <f>0</f>
        <v>0</v>
      </c>
    </row>
    <row r="64" spans="1:15" ht="15" x14ac:dyDescent="0.2">
      <c r="B64" s="363" t="s">
        <v>253</v>
      </c>
      <c r="C64" s="371"/>
      <c r="D64" s="62">
        <f>D8</f>
        <v>2.36</v>
      </c>
      <c r="N64" s="62">
        <f>N8</f>
        <v>18384.126400000001</v>
      </c>
    </row>
    <row r="65" spans="2:14" ht="15" x14ac:dyDescent="0.2">
      <c r="B65" s="363" t="s">
        <v>254</v>
      </c>
      <c r="C65" s="371"/>
      <c r="D65" s="62">
        <f>D9</f>
        <v>6.6929999999999996</v>
      </c>
      <c r="N65" s="62">
        <f>N9</f>
        <v>49963.40423</v>
      </c>
    </row>
    <row r="66" spans="2:14" ht="15" x14ac:dyDescent="0.2">
      <c r="B66" s="363" t="s">
        <v>255</v>
      </c>
      <c r="C66" s="371"/>
      <c r="D66" s="62">
        <v>0</v>
      </c>
      <c r="N66" s="1">
        <f>0</f>
        <v>0</v>
      </c>
    </row>
    <row r="67" spans="2:14" ht="15" x14ac:dyDescent="0.2">
      <c r="B67" s="363" t="s">
        <v>256</v>
      </c>
      <c r="C67" s="371"/>
      <c r="D67" s="62">
        <v>0</v>
      </c>
      <c r="N67" s="1">
        <f>0</f>
        <v>0</v>
      </c>
    </row>
    <row r="68" spans="2:14" ht="15" x14ac:dyDescent="0.2">
      <c r="B68" s="363" t="s">
        <v>257</v>
      </c>
      <c r="C68" s="371"/>
      <c r="D68" s="62">
        <f>D22+D13+D11</f>
        <v>11.632999999999999</v>
      </c>
      <c r="N68" s="62">
        <f>N22+N13+N12+N11</f>
        <v>77791.54522</v>
      </c>
    </row>
    <row r="69" spans="2:14" ht="15" x14ac:dyDescent="0.2">
      <c r="B69" s="363" t="s">
        <v>258</v>
      </c>
      <c r="C69" s="371"/>
      <c r="D69" s="62">
        <f>D16+D15+D14</f>
        <v>7.6849999999999996</v>
      </c>
      <c r="N69" s="62">
        <f>N16+N15+N14</f>
        <v>57472.081999999995</v>
      </c>
    </row>
    <row r="70" spans="2:14" ht="15" x14ac:dyDescent="0.2">
      <c r="B70" s="363" t="s">
        <v>259</v>
      </c>
      <c r="C70" s="371"/>
      <c r="D70" s="62">
        <f>D23+D20+D19+D18+D17</f>
        <v>13.507999999999999</v>
      </c>
      <c r="N70" s="62">
        <f>N23+N20+N19+N18+N17</f>
        <v>98733.823239999998</v>
      </c>
    </row>
    <row r="71" spans="2:14" ht="15" x14ac:dyDescent="0.2">
      <c r="B71" s="364" t="s">
        <v>260</v>
      </c>
      <c r="C71" s="371"/>
      <c r="D71" s="62">
        <v>0</v>
      </c>
      <c r="N71" s="1">
        <f>0</f>
        <v>0</v>
      </c>
    </row>
    <row r="72" spans="2:14" ht="24" customHeight="1" x14ac:dyDescent="0.2">
      <c r="B72" s="373" t="s">
        <v>264</v>
      </c>
      <c r="C72" s="371"/>
      <c r="D72" s="62"/>
      <c r="N72" s="62">
        <f>N34</f>
        <v>2229.5823299999997</v>
      </c>
    </row>
    <row r="73" spans="2:14" ht="36" x14ac:dyDescent="0.2">
      <c r="B73" s="365" t="s">
        <v>261</v>
      </c>
      <c r="C73" s="372"/>
      <c r="D73" s="62">
        <f>SUM(D56:D72)</f>
        <v>80.773999999999987</v>
      </c>
      <c r="N73" s="62">
        <f>SUM(N56:N72)</f>
        <v>651000.00000000012</v>
      </c>
    </row>
    <row r="74" spans="2:14" x14ac:dyDescent="0.2">
      <c r="N74" s="62">
        <f>N35-N73</f>
        <v>0</v>
      </c>
    </row>
  </sheetData>
  <autoFilter ref="A4:K4" xr:uid="{00000000-0009-0000-0000-000001000000}"/>
  <mergeCells count="80">
    <mergeCell ref="M32:M33"/>
    <mergeCell ref="Y36:AA36"/>
    <mergeCell ref="AB36:AD36"/>
    <mergeCell ref="X32:X33"/>
    <mergeCell ref="Y32:Y33"/>
    <mergeCell ref="Z32:Z33"/>
    <mergeCell ref="AA32:AA33"/>
    <mergeCell ref="X30:X31"/>
    <mergeCell ref="Y30:Y31"/>
    <mergeCell ref="Z30:Z31"/>
    <mergeCell ref="AA30:AA31"/>
    <mergeCell ref="X26:X27"/>
    <mergeCell ref="Y26:Y27"/>
    <mergeCell ref="Z26:Z27"/>
    <mergeCell ref="AA26:AA27"/>
    <mergeCell ref="X24:X25"/>
    <mergeCell ref="Y24:Y25"/>
    <mergeCell ref="Z24:Z25"/>
    <mergeCell ref="AA24:AA25"/>
    <mergeCell ref="X2:X3"/>
    <mergeCell ref="Y2:AA2"/>
    <mergeCell ref="AB2:AD2"/>
    <mergeCell ref="X11:X12"/>
    <mergeCell ref="Y11:Y12"/>
    <mergeCell ref="Z11:Z12"/>
    <mergeCell ref="AA11:AA12"/>
    <mergeCell ref="O2:O3"/>
    <mergeCell ref="F32:F33"/>
    <mergeCell ref="H30:H31"/>
    <mergeCell ref="G32:G33"/>
    <mergeCell ref="H32:H33"/>
    <mergeCell ref="L2:L3"/>
    <mergeCell ref="G5:G9"/>
    <mergeCell ref="G11:G20"/>
    <mergeCell ref="M11:M12"/>
    <mergeCell ref="M2:N2"/>
    <mergeCell ref="F30:F31"/>
    <mergeCell ref="H24:H25"/>
    <mergeCell ref="H26:H27"/>
    <mergeCell ref="F24:F25"/>
    <mergeCell ref="M24:M27"/>
    <mergeCell ref="M30:M31"/>
    <mergeCell ref="F53:G53"/>
    <mergeCell ref="H53:I53"/>
    <mergeCell ref="G24:G28"/>
    <mergeCell ref="G30:G31"/>
    <mergeCell ref="A32:A33"/>
    <mergeCell ref="B32:B33"/>
    <mergeCell ref="D32:D33"/>
    <mergeCell ref="E32:E33"/>
    <mergeCell ref="A24:A25"/>
    <mergeCell ref="B24:B25"/>
    <mergeCell ref="D24:D25"/>
    <mergeCell ref="E24:E25"/>
    <mergeCell ref="D26:D27"/>
    <mergeCell ref="E26:E27"/>
    <mergeCell ref="A30:A31"/>
    <mergeCell ref="B30:B31"/>
    <mergeCell ref="D30:D31"/>
    <mergeCell ref="E30:E31"/>
    <mergeCell ref="F26:F27"/>
    <mergeCell ref="A26:A27"/>
    <mergeCell ref="B26:B27"/>
    <mergeCell ref="A11:A12"/>
    <mergeCell ref="B11:B12"/>
    <mergeCell ref="D11:D12"/>
    <mergeCell ref="E11:E12"/>
    <mergeCell ref="F11:F12"/>
    <mergeCell ref="A1:K1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K2:K3"/>
    <mergeCell ref="C2:C3"/>
  </mergeCells>
  <conditionalFormatting sqref="B5:C11 B26:C26 B34:C34 B28:C29 B13:C24">
    <cfRule type="expression" dxfId="83" priority="19">
      <formula>#REF!="отказ собственников"</formula>
    </cfRule>
    <cfRule type="expression" dxfId="82" priority="20">
      <formula>#REF!="оплачено"</formula>
    </cfRule>
    <cfRule type="expression" dxfId="81" priority="21">
      <formula>#REF!="согласование ПСД"</formula>
    </cfRule>
    <cfRule type="expression" dxfId="80" priority="22">
      <formula>#REF!="подготовка к торгам"</formula>
    </cfRule>
    <cfRule type="expression" dxfId="79" priority="23">
      <formula>#REF!="на торгах"</formula>
    </cfRule>
    <cfRule type="expression" dxfId="78" priority="24">
      <formula>#REF!="СМР"</formula>
    </cfRule>
  </conditionalFormatting>
  <conditionalFormatting sqref="B30:C30">
    <cfRule type="expression" dxfId="77" priority="13">
      <formula>#REF!="отказ собственников"</formula>
    </cfRule>
    <cfRule type="expression" dxfId="76" priority="14">
      <formula>#REF!="оплачено"</formula>
    </cfRule>
    <cfRule type="expression" dxfId="75" priority="15">
      <formula>#REF!="согласование ПСД"</formula>
    </cfRule>
    <cfRule type="expression" dxfId="74" priority="16">
      <formula>#REF!="подготовка к торгам"</formula>
    </cfRule>
    <cfRule type="expression" dxfId="73" priority="17">
      <formula>#REF!="на торгах"</formula>
    </cfRule>
    <cfRule type="expression" dxfId="72" priority="18">
      <formula>#REF!="СМР"</formula>
    </cfRule>
  </conditionalFormatting>
  <conditionalFormatting sqref="B32:C32">
    <cfRule type="expression" dxfId="71" priority="1">
      <formula>#REF!="отказ собственников"</formula>
    </cfRule>
    <cfRule type="expression" dxfId="70" priority="2">
      <formula>#REF!="оплачено"</formula>
    </cfRule>
    <cfRule type="expression" dxfId="69" priority="3">
      <formula>#REF!="согласование ПСД"</formula>
    </cfRule>
    <cfRule type="expression" dxfId="68" priority="4">
      <formula>#REF!="подготовка к торгам"</formula>
    </cfRule>
    <cfRule type="expression" dxfId="67" priority="5">
      <formula>#REF!="на торгах"</formula>
    </cfRule>
    <cfRule type="expression" dxfId="66" priority="6">
      <formula>#REF!="СМР"</formula>
    </cfRule>
  </conditionalFormatting>
  <printOptions horizontalCentered="1"/>
  <pageMargins left="0.19685039370078741" right="0.19685039370078741" top="0.39370078740157483" bottom="0.47244094488188981" header="0.31496062992125984" footer="0.31496062992125984"/>
  <pageSetup paperSize="9" scale="72" fitToHeight="40" orientation="landscape" horizontalDpi="4294967295" verticalDpi="4294967295" r:id="rId1"/>
  <headerFooter>
    <oddFooter>&amp;L&amp;P</oddFooter>
  </headerFooter>
  <rowBreaks count="1" manualBreakCount="1">
    <brk id="23" max="28" man="1"/>
  </rowBreaks>
  <colBreaks count="1" manualBreakCount="1">
    <brk id="22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3"/>
  <sheetViews>
    <sheetView view="pageBreakPreview" topLeftCell="A7" zoomScaleSheetLayoutView="100" workbookViewId="0">
      <selection activeCell="C11" sqref="C11"/>
    </sheetView>
  </sheetViews>
  <sheetFormatPr defaultRowHeight="12.75" x14ac:dyDescent="0.2"/>
  <cols>
    <col min="1" max="1" width="4.42578125" customWidth="1"/>
    <col min="2" max="2" width="60.140625" customWidth="1"/>
    <col min="3" max="3" width="19.28515625" style="256" customWidth="1"/>
    <col min="4" max="4" width="14.7109375" style="256" customWidth="1"/>
  </cols>
  <sheetData>
    <row r="2" spans="1:4" ht="18.75" customHeight="1" x14ac:dyDescent="0.2">
      <c r="A2" s="462" t="s">
        <v>203</v>
      </c>
      <c r="B2" s="463"/>
      <c r="C2" s="463"/>
      <c r="D2" s="464"/>
    </row>
    <row r="3" spans="1:4" ht="18.75" customHeight="1" x14ac:dyDescent="0.2">
      <c r="A3" s="465"/>
      <c r="B3" s="466"/>
      <c r="C3" s="466"/>
      <c r="D3" s="467"/>
    </row>
    <row r="4" spans="1:4" ht="18.75" customHeight="1" x14ac:dyDescent="0.2">
      <c r="A4" s="261"/>
      <c r="B4" s="261"/>
      <c r="C4" s="261"/>
      <c r="D4" s="261"/>
    </row>
    <row r="5" spans="1:4" s="266" customFormat="1" ht="30" customHeight="1" x14ac:dyDescent="0.2">
      <c r="A5" s="263"/>
      <c r="B5" s="264" t="s">
        <v>2</v>
      </c>
      <c r="C5" s="258" t="s">
        <v>204</v>
      </c>
      <c r="D5" s="265" t="s">
        <v>205</v>
      </c>
    </row>
    <row r="6" spans="1:4" ht="59.25" customHeight="1" x14ac:dyDescent="0.2">
      <c r="A6" s="260">
        <v>1</v>
      </c>
      <c r="B6" s="255" t="s">
        <v>207</v>
      </c>
      <c r="C6" s="272">
        <v>23640.675999999999</v>
      </c>
      <c r="D6" s="262">
        <v>44364</v>
      </c>
    </row>
    <row r="7" spans="1:4" ht="49.5" customHeight="1" x14ac:dyDescent="0.2">
      <c r="A7" s="260">
        <v>2</v>
      </c>
      <c r="B7" s="255" t="s">
        <v>208</v>
      </c>
      <c r="C7" s="272">
        <v>37160.216999999997</v>
      </c>
      <c r="D7" s="262">
        <v>44363</v>
      </c>
    </row>
    <row r="8" spans="1:4" ht="79.5" customHeight="1" x14ac:dyDescent="0.2">
      <c r="A8" s="260">
        <v>3</v>
      </c>
      <c r="B8" s="255" t="s">
        <v>209</v>
      </c>
      <c r="C8" s="272">
        <v>10059.217000000001</v>
      </c>
      <c r="D8" s="262">
        <v>44371</v>
      </c>
    </row>
    <row r="9" spans="1:4" ht="52.5" customHeight="1" x14ac:dyDescent="0.2">
      <c r="A9" s="260">
        <v>4</v>
      </c>
      <c r="B9" s="255" t="s">
        <v>210</v>
      </c>
      <c r="C9" s="272">
        <v>13444.384</v>
      </c>
      <c r="D9" s="262">
        <v>44355</v>
      </c>
    </row>
    <row r="10" spans="1:4" ht="78" customHeight="1" x14ac:dyDescent="0.2">
      <c r="A10" s="260">
        <v>5</v>
      </c>
      <c r="B10" s="255" t="s">
        <v>211</v>
      </c>
      <c r="C10" s="279">
        <v>29591.460999999999</v>
      </c>
      <c r="D10" s="262">
        <v>44371</v>
      </c>
    </row>
    <row r="11" spans="1:4" ht="99.75" customHeight="1" x14ac:dyDescent="0.2">
      <c r="A11" s="260">
        <v>6</v>
      </c>
      <c r="B11" s="255" t="s">
        <v>212</v>
      </c>
      <c r="C11" s="272">
        <f>34505.936-3306.72544</f>
        <v>31199.21056</v>
      </c>
      <c r="D11" s="262">
        <v>44371</v>
      </c>
    </row>
    <row r="12" spans="1:4" ht="42.75" customHeight="1" x14ac:dyDescent="0.2">
      <c r="A12" s="260">
        <v>7</v>
      </c>
      <c r="B12" s="255" t="s">
        <v>213</v>
      </c>
      <c r="C12" s="272">
        <v>34346.465530000001</v>
      </c>
      <c r="D12" s="262"/>
    </row>
    <row r="13" spans="1:4" ht="33.75" customHeight="1" x14ac:dyDescent="0.2">
      <c r="A13" s="260">
        <v>8</v>
      </c>
      <c r="B13" s="255" t="s">
        <v>214</v>
      </c>
      <c r="C13" s="272">
        <v>19421.180909999999</v>
      </c>
      <c r="D13" s="262"/>
    </row>
    <row r="14" spans="1:4" s="180" customFormat="1" ht="39.75" customHeight="1" x14ac:dyDescent="0.3">
      <c r="A14" s="257"/>
      <c r="B14" s="259" t="s">
        <v>186</v>
      </c>
      <c r="C14" s="273">
        <f>SUM(C6:C13)</f>
        <v>198862.81199999998</v>
      </c>
      <c r="D14" s="265"/>
    </row>
    <row r="15" spans="1:4" s="180" customFormat="1" ht="39.75" customHeight="1" x14ac:dyDescent="0.3">
      <c r="A15" s="257"/>
      <c r="B15" s="259" t="s">
        <v>215</v>
      </c>
      <c r="C15" s="273">
        <f>C14-C13-C12</f>
        <v>145095.16555999999</v>
      </c>
      <c r="D15" s="265"/>
    </row>
    <row r="17" spans="3:3" x14ac:dyDescent="0.2">
      <c r="C17" s="274">
        <v>198862.81200000001</v>
      </c>
    </row>
    <row r="20" spans="3:3" x14ac:dyDescent="0.2">
      <c r="C20" s="275">
        <f>C17-C14</f>
        <v>0</v>
      </c>
    </row>
    <row r="23" spans="3:3" x14ac:dyDescent="0.2">
      <c r="C23" s="275">
        <f>C14-C13-C12</f>
        <v>145095.16555999999</v>
      </c>
    </row>
  </sheetData>
  <mergeCells count="1">
    <mergeCell ref="A2:D3"/>
  </mergeCells>
  <conditionalFormatting sqref="B6">
    <cfRule type="expression" dxfId="65" priority="49">
      <formula>#REF!="отказ собственников"</formula>
    </cfRule>
    <cfRule type="expression" dxfId="64" priority="50">
      <formula>#REF!="оплачено"</formula>
    </cfRule>
    <cfRule type="expression" dxfId="63" priority="51">
      <formula>#REF!="согласование ПСД"</formula>
    </cfRule>
    <cfRule type="expression" dxfId="62" priority="52">
      <formula>#REF!="подготовка к торгам"</formula>
    </cfRule>
    <cfRule type="expression" dxfId="61" priority="53">
      <formula>#REF!="на торгах"</formula>
    </cfRule>
    <cfRule type="expression" dxfId="60" priority="54">
      <formula>#REF!="СМР"</formula>
    </cfRule>
  </conditionalFormatting>
  <conditionalFormatting sqref="B7">
    <cfRule type="expression" dxfId="59" priority="43">
      <formula>#REF!="отказ собственников"</formula>
    </cfRule>
    <cfRule type="expression" dxfId="58" priority="44">
      <formula>#REF!="оплачено"</formula>
    </cfRule>
    <cfRule type="expression" dxfId="57" priority="45">
      <formula>#REF!="согласование ПСД"</formula>
    </cfRule>
    <cfRule type="expression" dxfId="56" priority="46">
      <formula>#REF!="подготовка к торгам"</formula>
    </cfRule>
    <cfRule type="expression" dxfId="55" priority="47">
      <formula>#REF!="на торгах"</formula>
    </cfRule>
    <cfRule type="expression" dxfId="54" priority="48">
      <formula>#REF!="СМР"</formula>
    </cfRule>
  </conditionalFormatting>
  <conditionalFormatting sqref="B8">
    <cfRule type="expression" dxfId="53" priority="37">
      <formula>#REF!="отказ собственников"</formula>
    </cfRule>
    <cfRule type="expression" dxfId="52" priority="38">
      <formula>#REF!="оплачено"</formula>
    </cfRule>
    <cfRule type="expression" dxfId="51" priority="39">
      <formula>#REF!="согласование ПСД"</formula>
    </cfRule>
    <cfRule type="expression" dxfId="50" priority="40">
      <formula>#REF!="подготовка к торгам"</formula>
    </cfRule>
    <cfRule type="expression" dxfId="49" priority="41">
      <formula>#REF!="на торгах"</formula>
    </cfRule>
    <cfRule type="expression" dxfId="48" priority="42">
      <formula>#REF!="СМР"</formula>
    </cfRule>
  </conditionalFormatting>
  <conditionalFormatting sqref="B9">
    <cfRule type="expression" dxfId="47" priority="31">
      <formula>#REF!="отказ собственников"</formula>
    </cfRule>
    <cfRule type="expression" dxfId="46" priority="32">
      <formula>#REF!="оплачено"</formula>
    </cfRule>
    <cfRule type="expression" dxfId="45" priority="33">
      <formula>#REF!="согласование ПСД"</formula>
    </cfRule>
    <cfRule type="expression" dxfId="44" priority="34">
      <formula>#REF!="подготовка к торгам"</formula>
    </cfRule>
    <cfRule type="expression" dxfId="43" priority="35">
      <formula>#REF!="на торгах"</formula>
    </cfRule>
    <cfRule type="expression" dxfId="42" priority="36">
      <formula>#REF!="СМР"</formula>
    </cfRule>
  </conditionalFormatting>
  <conditionalFormatting sqref="B10:B13">
    <cfRule type="expression" dxfId="41" priority="25">
      <formula>#REF!="отказ собственников"</formula>
    </cfRule>
    <cfRule type="expression" dxfId="40" priority="26">
      <formula>#REF!="оплачено"</formula>
    </cfRule>
    <cfRule type="expression" dxfId="39" priority="27">
      <formula>#REF!="согласование ПСД"</formula>
    </cfRule>
    <cfRule type="expression" dxfId="38" priority="28">
      <formula>#REF!="подготовка к торгам"</formula>
    </cfRule>
    <cfRule type="expression" dxfId="37" priority="29">
      <formula>#REF!="на торгах"</formula>
    </cfRule>
    <cfRule type="expression" dxfId="36" priority="30">
      <formula>#REF!="СМР"</formula>
    </cfRule>
  </conditionalFormatting>
  <conditionalFormatting sqref="B14">
    <cfRule type="expression" dxfId="35" priority="19">
      <formula>#REF!="отказ собственников"</formula>
    </cfRule>
    <cfRule type="expression" dxfId="34" priority="20">
      <formula>#REF!="оплачено"</formula>
    </cfRule>
    <cfRule type="expression" dxfId="33" priority="21">
      <formula>#REF!="согласование ПСД"</formula>
    </cfRule>
    <cfRule type="expression" dxfId="32" priority="22">
      <formula>#REF!="подготовка к торгам"</formula>
    </cfRule>
    <cfRule type="expression" dxfId="31" priority="23">
      <formula>#REF!="на торгах"</formula>
    </cfRule>
    <cfRule type="expression" dxfId="30" priority="24">
      <formula>#REF!="СМР"</formula>
    </cfRule>
  </conditionalFormatting>
  <conditionalFormatting sqref="A2">
    <cfRule type="expression" dxfId="29" priority="13">
      <formula>#REF!="отказ собственников"</formula>
    </cfRule>
    <cfRule type="expression" dxfId="28" priority="14">
      <formula>#REF!="оплачено"</formula>
    </cfRule>
    <cfRule type="expression" dxfId="27" priority="15">
      <formula>#REF!="согласование ПСД"</formula>
    </cfRule>
    <cfRule type="expression" dxfId="26" priority="16">
      <formula>#REF!="подготовка к торгам"</formula>
    </cfRule>
    <cfRule type="expression" dxfId="25" priority="17">
      <formula>#REF!="на торгах"</formula>
    </cfRule>
    <cfRule type="expression" dxfId="24" priority="18">
      <formula>#REF!="СМР"</formula>
    </cfRule>
  </conditionalFormatting>
  <conditionalFormatting sqref="B5">
    <cfRule type="expression" dxfId="23" priority="7">
      <formula>#REF!="отказ собственников"</formula>
    </cfRule>
    <cfRule type="expression" dxfId="22" priority="8">
      <formula>#REF!="оплачено"</formula>
    </cfRule>
    <cfRule type="expression" dxfId="21" priority="9">
      <formula>#REF!="согласование ПСД"</formula>
    </cfRule>
    <cfRule type="expression" dxfId="20" priority="10">
      <formula>#REF!="подготовка к торгам"</formula>
    </cfRule>
    <cfRule type="expression" dxfId="19" priority="11">
      <formula>#REF!="на торгах"</formula>
    </cfRule>
    <cfRule type="expression" dxfId="18" priority="12">
      <formula>#REF!="СМР"</formula>
    </cfRule>
  </conditionalFormatting>
  <conditionalFormatting sqref="B15">
    <cfRule type="expression" dxfId="17" priority="1">
      <formula>#REF!="отказ собственников"</formula>
    </cfRule>
    <cfRule type="expression" dxfId="16" priority="2">
      <formula>#REF!="оплачено"</formula>
    </cfRule>
    <cfRule type="expression" dxfId="15" priority="3">
      <formula>#REF!="согласование ПСД"</formula>
    </cfRule>
    <cfRule type="expression" dxfId="14" priority="4">
      <formula>#REF!="подготовка к торгам"</formula>
    </cfRule>
    <cfRule type="expression" dxfId="13" priority="5">
      <formula>#REF!="на торгах"</formula>
    </cfRule>
    <cfRule type="expression" dxfId="12" priority="6">
      <formula>#REF!="СМР"</formula>
    </cfRule>
  </conditionalFormatting>
  <pageMargins left="0.7" right="0.7" top="0.75" bottom="0.75" header="0.3" footer="0.3"/>
  <pageSetup paperSize="9" scale="9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2"/>
  <sheetViews>
    <sheetView view="pageBreakPreview" topLeftCell="B1" zoomScale="90" zoomScaleNormal="75" zoomScaleSheetLayoutView="90" workbookViewId="0">
      <selection activeCell="S8" sqref="S8"/>
    </sheetView>
  </sheetViews>
  <sheetFormatPr defaultRowHeight="12.75" outlineLevelCol="1" x14ac:dyDescent="0.2"/>
  <cols>
    <col min="1" max="1" width="4.5703125" style="3" customWidth="1"/>
    <col min="2" max="2" width="48.85546875" customWidth="1"/>
    <col min="3" max="3" width="22.7109375" customWidth="1"/>
    <col min="4" max="4" width="15" customWidth="1"/>
    <col min="5" max="5" width="21.42578125" customWidth="1"/>
    <col min="6" max="7" width="15.42578125" customWidth="1"/>
    <col min="8" max="8" width="27" customWidth="1"/>
    <col min="9" max="10" width="12.7109375" customWidth="1"/>
    <col min="11" max="11" width="9.5703125" customWidth="1"/>
    <col min="12" max="12" width="10" customWidth="1"/>
    <col min="13" max="13" width="16.5703125" style="10" hidden="1" customWidth="1" outlineLevel="1"/>
    <col min="14" max="14" width="14.85546875" style="1" hidden="1" customWidth="1" outlineLevel="1"/>
    <col min="15" max="15" width="14.5703125" style="11" hidden="1" customWidth="1" outlineLevel="1"/>
    <col min="16" max="16" width="13.7109375" style="11" hidden="1" customWidth="1" outlineLevel="1"/>
    <col min="17" max="17" width="17.7109375" style="1" hidden="1" customWidth="1" outlineLevel="1"/>
    <col min="18" max="18" width="13.5703125" style="105" customWidth="1" collapsed="1"/>
    <col min="19" max="19" width="11" style="105" customWidth="1"/>
  </cols>
  <sheetData>
    <row r="1" spans="1:19" ht="28.5" customHeight="1" x14ac:dyDescent="0.2">
      <c r="A1" s="511" t="s">
        <v>57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</row>
    <row r="2" spans="1:19" ht="26.25" customHeight="1" x14ac:dyDescent="0.2">
      <c r="A2" s="512" t="s">
        <v>1</v>
      </c>
      <c r="B2" s="422" t="s">
        <v>2</v>
      </c>
      <c r="C2" s="140"/>
      <c r="D2" s="140"/>
      <c r="E2" s="101"/>
      <c r="F2" s="514" t="s">
        <v>165</v>
      </c>
      <c r="G2" s="516"/>
      <c r="H2" s="101"/>
      <c r="I2" s="422" t="s">
        <v>166</v>
      </c>
      <c r="J2" s="422" t="s">
        <v>167</v>
      </c>
      <c r="K2" s="422" t="s">
        <v>5</v>
      </c>
      <c r="L2" s="422" t="s">
        <v>6</v>
      </c>
      <c r="M2" s="422" t="s">
        <v>4</v>
      </c>
      <c r="N2" s="422" t="s">
        <v>3</v>
      </c>
      <c r="O2" s="422" t="s">
        <v>0</v>
      </c>
      <c r="P2" s="422" t="s">
        <v>9</v>
      </c>
      <c r="Q2" s="514" t="s">
        <v>12</v>
      </c>
    </row>
    <row r="3" spans="1:19" ht="48" customHeight="1" x14ac:dyDescent="0.2">
      <c r="A3" s="513"/>
      <c r="B3" s="423"/>
      <c r="C3" s="141"/>
      <c r="D3" s="141"/>
      <c r="E3" s="102"/>
      <c r="F3" s="102" t="s">
        <v>58</v>
      </c>
      <c r="G3" s="102" t="s">
        <v>59</v>
      </c>
      <c r="H3" s="102"/>
      <c r="I3" s="423"/>
      <c r="J3" s="423"/>
      <c r="K3" s="423"/>
      <c r="L3" s="423"/>
      <c r="M3" s="423"/>
      <c r="N3" s="423"/>
      <c r="O3" s="423"/>
      <c r="P3" s="423"/>
      <c r="Q3" s="515"/>
      <c r="R3" s="105" t="s">
        <v>168</v>
      </c>
    </row>
    <row r="4" spans="1:19" ht="13.5" thickBot="1" x14ac:dyDescent="0.25">
      <c r="A4" s="27">
        <v>1</v>
      </c>
      <c r="B4" s="32">
        <v>3</v>
      </c>
      <c r="C4" s="32"/>
      <c r="D4" s="32"/>
      <c r="E4" s="32"/>
      <c r="F4" s="32"/>
      <c r="G4" s="32"/>
      <c r="H4" s="32"/>
      <c r="I4" s="32"/>
      <c r="J4" s="32"/>
      <c r="K4" s="32">
        <v>5</v>
      </c>
      <c r="L4" s="32">
        <v>6</v>
      </c>
      <c r="M4" s="33">
        <v>7</v>
      </c>
      <c r="N4" s="32">
        <v>8</v>
      </c>
      <c r="O4" s="27">
        <v>9</v>
      </c>
      <c r="P4" s="34">
        <v>10</v>
      </c>
      <c r="Q4" s="35">
        <v>11</v>
      </c>
    </row>
    <row r="5" spans="1:19" ht="28.5" customHeight="1" x14ac:dyDescent="0.2">
      <c r="A5" s="84">
        <v>1</v>
      </c>
      <c r="B5" s="85" t="s">
        <v>61</v>
      </c>
      <c r="C5" s="85" t="s">
        <v>169</v>
      </c>
      <c r="D5" s="156">
        <f>J5-3000</f>
        <v>98733</v>
      </c>
      <c r="E5" s="85" t="s">
        <v>60</v>
      </c>
      <c r="F5" s="85" t="s">
        <v>122</v>
      </c>
      <c r="G5" s="85" t="s">
        <v>123</v>
      </c>
      <c r="H5" s="85" t="s">
        <v>66</v>
      </c>
      <c r="I5" s="85">
        <v>14.534000000000001</v>
      </c>
      <c r="J5" s="124">
        <v>101733</v>
      </c>
      <c r="K5" s="86">
        <v>14.534000000000001</v>
      </c>
      <c r="L5" s="86">
        <v>101.733</v>
      </c>
      <c r="M5" s="85" t="s">
        <v>46</v>
      </c>
      <c r="N5" s="496" t="s">
        <v>38</v>
      </c>
      <c r="O5" s="37" t="s">
        <v>42</v>
      </c>
      <c r="P5" s="38" t="s">
        <v>10</v>
      </c>
      <c r="Q5" s="39">
        <v>132754.14566000001</v>
      </c>
      <c r="R5" s="105">
        <v>112</v>
      </c>
      <c r="S5" s="132">
        <f>D5+D11+D13</f>
        <v>166543</v>
      </c>
    </row>
    <row r="6" spans="1:19" ht="28.5" customHeight="1" x14ac:dyDescent="0.2">
      <c r="A6" s="87">
        <v>2</v>
      </c>
      <c r="B6" s="88" t="s">
        <v>63</v>
      </c>
      <c r="C6" s="146" t="s">
        <v>170</v>
      </c>
      <c r="D6" s="146" t="s">
        <v>180</v>
      </c>
      <c r="E6" s="88" t="s">
        <v>62</v>
      </c>
      <c r="F6" s="88" t="s">
        <v>124</v>
      </c>
      <c r="G6" s="88" t="s">
        <v>125</v>
      </c>
      <c r="H6" s="88" t="s">
        <v>67</v>
      </c>
      <c r="I6" s="88">
        <v>3.34</v>
      </c>
      <c r="J6" s="125">
        <v>21001</v>
      </c>
      <c r="K6" s="89">
        <v>3.34</v>
      </c>
      <c r="L6" s="89">
        <v>21.001000000000001</v>
      </c>
      <c r="M6" s="88" t="s">
        <v>7</v>
      </c>
      <c r="N6" s="497"/>
      <c r="O6" s="30" t="s">
        <v>16</v>
      </c>
      <c r="P6" s="14" t="s">
        <v>10</v>
      </c>
      <c r="Q6" s="40">
        <v>25546.237499999999</v>
      </c>
      <c r="R6" s="105">
        <v>113</v>
      </c>
      <c r="S6" s="132">
        <f>D18+D19+D20+D21+D23+D26</f>
        <v>118489</v>
      </c>
    </row>
    <row r="7" spans="1:19" ht="25.5" customHeight="1" x14ac:dyDescent="0.2">
      <c r="A7" s="87">
        <v>3</v>
      </c>
      <c r="B7" s="88" t="s">
        <v>65</v>
      </c>
      <c r="C7" s="146" t="s">
        <v>171</v>
      </c>
      <c r="D7" s="146" t="s">
        <v>181</v>
      </c>
      <c r="E7" s="88" t="s">
        <v>64</v>
      </c>
      <c r="F7" s="88" t="s">
        <v>126</v>
      </c>
      <c r="G7" s="88" t="s">
        <v>127</v>
      </c>
      <c r="H7" s="88" t="s">
        <v>68</v>
      </c>
      <c r="I7" s="88">
        <v>2.7829999999999999</v>
      </c>
      <c r="J7" s="125">
        <v>18663</v>
      </c>
      <c r="K7" s="89">
        <v>2.7829999999999999</v>
      </c>
      <c r="L7" s="89">
        <v>18.663</v>
      </c>
      <c r="M7" s="88" t="s">
        <v>46</v>
      </c>
      <c r="N7" s="497"/>
      <c r="O7" s="30" t="s">
        <v>16</v>
      </c>
      <c r="P7" s="14" t="s">
        <v>10</v>
      </c>
      <c r="Q7" s="40">
        <v>23252.086210000001</v>
      </c>
      <c r="R7" s="105">
        <v>114</v>
      </c>
      <c r="S7" s="132">
        <f>D15+D16+D17</f>
        <v>52410</v>
      </c>
    </row>
    <row r="8" spans="1:19" ht="31.5" customHeight="1" x14ac:dyDescent="0.2">
      <c r="A8" s="135">
        <v>4</v>
      </c>
      <c r="B8" s="88" t="s">
        <v>69</v>
      </c>
      <c r="C8" s="146" t="s">
        <v>172</v>
      </c>
      <c r="D8" s="146" t="s">
        <v>180</v>
      </c>
      <c r="E8" s="88" t="s">
        <v>70</v>
      </c>
      <c r="F8" s="88" t="s">
        <v>128</v>
      </c>
      <c r="G8" s="88" t="s">
        <v>129</v>
      </c>
      <c r="H8" s="88" t="s">
        <v>71</v>
      </c>
      <c r="I8" s="88">
        <v>2.36</v>
      </c>
      <c r="J8" s="125">
        <v>15104</v>
      </c>
      <c r="K8" s="89">
        <v>2.36</v>
      </c>
      <c r="L8" s="89">
        <v>15.103999999999999</v>
      </c>
      <c r="M8" s="88" t="s">
        <v>7</v>
      </c>
      <c r="N8" s="497"/>
      <c r="O8" s="30" t="s">
        <v>19</v>
      </c>
      <c r="P8" s="14" t="s">
        <v>10</v>
      </c>
      <c r="Q8" s="40">
        <v>18384.126400000001</v>
      </c>
      <c r="S8" s="132">
        <f>SUM(S5:S7)</f>
        <v>337442</v>
      </c>
    </row>
    <row r="9" spans="1:19" ht="30" customHeight="1" thickBot="1" x14ac:dyDescent="0.25">
      <c r="A9" s="484">
        <v>5</v>
      </c>
      <c r="B9" s="483" t="s">
        <v>72</v>
      </c>
      <c r="C9" s="146" t="s">
        <v>173</v>
      </c>
      <c r="D9" s="146" t="s">
        <v>180</v>
      </c>
      <c r="E9" s="88" t="s">
        <v>74</v>
      </c>
      <c r="F9" s="88" t="s">
        <v>130</v>
      </c>
      <c r="G9" s="88" t="s">
        <v>131</v>
      </c>
      <c r="H9" s="483" t="s">
        <v>73</v>
      </c>
      <c r="I9" s="88">
        <v>1.49</v>
      </c>
      <c r="J9" s="126">
        <v>9050</v>
      </c>
      <c r="K9" s="487">
        <v>6.6929999999999996</v>
      </c>
      <c r="L9" s="487">
        <v>40.56</v>
      </c>
      <c r="M9" s="485" t="s">
        <v>7</v>
      </c>
      <c r="N9" s="498"/>
      <c r="O9" s="41" t="s">
        <v>16</v>
      </c>
      <c r="P9" s="42" t="s">
        <v>10</v>
      </c>
      <c r="Q9" s="43">
        <v>49963.40423</v>
      </c>
    </row>
    <row r="10" spans="1:19" ht="30" customHeight="1" thickBot="1" x14ac:dyDescent="0.25">
      <c r="A10" s="484"/>
      <c r="B10" s="483"/>
      <c r="C10" s="146"/>
      <c r="D10" s="146"/>
      <c r="E10" s="88" t="s">
        <v>75</v>
      </c>
      <c r="F10" s="88" t="s">
        <v>132</v>
      </c>
      <c r="G10" s="88" t="s">
        <v>133</v>
      </c>
      <c r="H10" s="483"/>
      <c r="I10" s="88">
        <v>5.2030000000000003</v>
      </c>
      <c r="J10" s="126">
        <v>31510</v>
      </c>
      <c r="K10" s="487"/>
      <c r="L10" s="487"/>
      <c r="M10" s="486"/>
      <c r="N10" s="103"/>
      <c r="O10" s="107"/>
      <c r="P10" s="108"/>
      <c r="Q10" s="109"/>
      <c r="R10" s="132"/>
    </row>
    <row r="11" spans="1:19" ht="27.75" customHeight="1" x14ac:dyDescent="0.2">
      <c r="A11" s="499">
        <v>6</v>
      </c>
      <c r="B11" s="488" t="s">
        <v>79</v>
      </c>
      <c r="C11" s="139" t="s">
        <v>174</v>
      </c>
      <c r="D11" s="127">
        <f>J11</f>
        <v>42210</v>
      </c>
      <c r="E11" s="104" t="s">
        <v>76</v>
      </c>
      <c r="F11" s="104" t="s">
        <v>101</v>
      </c>
      <c r="G11" s="104" t="s">
        <v>102</v>
      </c>
      <c r="H11" s="488" t="s">
        <v>78</v>
      </c>
      <c r="I11" s="121">
        <v>4.45</v>
      </c>
      <c r="J11" s="509">
        <v>42210</v>
      </c>
      <c r="K11" s="501">
        <v>6.3</v>
      </c>
      <c r="L11" s="501">
        <v>42.21</v>
      </c>
      <c r="M11" s="503" t="s">
        <v>7</v>
      </c>
      <c r="N11" s="504" t="s">
        <v>39</v>
      </c>
      <c r="O11" s="45" t="s">
        <v>14</v>
      </c>
      <c r="P11" s="38" t="s">
        <v>10</v>
      </c>
      <c r="Q11" s="39">
        <v>27168.171999999999</v>
      </c>
    </row>
    <row r="12" spans="1:19" ht="27.75" customHeight="1" x14ac:dyDescent="0.2">
      <c r="A12" s="500"/>
      <c r="B12" s="473"/>
      <c r="C12" s="138"/>
      <c r="D12" s="138"/>
      <c r="E12" s="94" t="s">
        <v>77</v>
      </c>
      <c r="F12" s="94" t="s">
        <v>103</v>
      </c>
      <c r="G12" s="94" t="s">
        <v>159</v>
      </c>
      <c r="H12" s="473"/>
      <c r="I12" s="122">
        <v>1.85</v>
      </c>
      <c r="J12" s="510"/>
      <c r="K12" s="502"/>
      <c r="L12" s="502"/>
      <c r="M12" s="488"/>
      <c r="N12" s="505"/>
      <c r="O12" s="44" t="s">
        <v>14</v>
      </c>
      <c r="P12" s="15" t="s">
        <v>11</v>
      </c>
      <c r="Q12" s="46">
        <v>19608.278999999999</v>
      </c>
    </row>
    <row r="13" spans="1:19" ht="31.5" customHeight="1" x14ac:dyDescent="0.2">
      <c r="A13" s="508">
        <v>7</v>
      </c>
      <c r="B13" s="472" t="s">
        <v>160</v>
      </c>
      <c r="C13" s="142" t="s">
        <v>174</v>
      </c>
      <c r="D13" s="129">
        <f>J13</f>
        <v>25600</v>
      </c>
      <c r="E13" s="94" t="s">
        <v>80</v>
      </c>
      <c r="F13" s="94" t="s">
        <v>104</v>
      </c>
      <c r="G13" s="94" t="s">
        <v>105</v>
      </c>
      <c r="H13" s="472" t="s">
        <v>78</v>
      </c>
      <c r="I13" s="94">
        <v>1960</v>
      </c>
      <c r="J13" s="509">
        <v>25600</v>
      </c>
      <c r="K13" s="507">
        <v>4.0529999999999999</v>
      </c>
      <c r="L13" s="507">
        <v>25.6</v>
      </c>
      <c r="M13" s="472" t="s">
        <v>46</v>
      </c>
      <c r="N13" s="505"/>
      <c r="O13" s="30" t="s">
        <v>16</v>
      </c>
      <c r="P13" s="15" t="s">
        <v>11</v>
      </c>
      <c r="Q13" s="40">
        <v>27109.936000000002</v>
      </c>
    </row>
    <row r="14" spans="1:19" ht="31.5" customHeight="1" x14ac:dyDescent="0.2">
      <c r="A14" s="500"/>
      <c r="B14" s="473"/>
      <c r="C14" s="138"/>
      <c r="D14" s="138"/>
      <c r="E14" s="94" t="s">
        <v>81</v>
      </c>
      <c r="F14" s="94" t="s">
        <v>106</v>
      </c>
      <c r="G14" s="94" t="s">
        <v>107</v>
      </c>
      <c r="H14" s="473"/>
      <c r="I14" s="94">
        <v>2093</v>
      </c>
      <c r="J14" s="510"/>
      <c r="K14" s="502"/>
      <c r="L14" s="502"/>
      <c r="M14" s="473"/>
      <c r="N14" s="505"/>
      <c r="O14" s="30"/>
      <c r="P14" s="15"/>
      <c r="Q14" s="40"/>
    </row>
    <row r="15" spans="1:19" ht="27.75" customHeight="1" x14ac:dyDescent="0.2">
      <c r="A15" s="93">
        <v>8</v>
      </c>
      <c r="B15" s="94" t="s">
        <v>84</v>
      </c>
      <c r="C15" s="94" t="s">
        <v>175</v>
      </c>
      <c r="D15" s="128">
        <f t="shared" ref="D15:D21" si="0">J15</f>
        <v>14566</v>
      </c>
      <c r="E15" s="94" t="s">
        <v>82</v>
      </c>
      <c r="F15" s="94" t="s">
        <v>108</v>
      </c>
      <c r="G15" s="94" t="s">
        <v>109</v>
      </c>
      <c r="H15" s="94" t="s">
        <v>83</v>
      </c>
      <c r="I15" s="94">
        <v>1.93</v>
      </c>
      <c r="J15" s="128">
        <v>14566</v>
      </c>
      <c r="K15" s="95">
        <v>1.93</v>
      </c>
      <c r="L15" s="95">
        <v>14.566000000000001</v>
      </c>
      <c r="M15" s="94" t="s">
        <v>7</v>
      </c>
      <c r="N15" s="505"/>
      <c r="O15" s="30" t="s">
        <v>14</v>
      </c>
      <c r="P15" s="15" t="s">
        <v>11</v>
      </c>
      <c r="Q15" s="40">
        <v>16833.560000000001</v>
      </c>
    </row>
    <row r="16" spans="1:19" ht="29.25" customHeight="1" x14ac:dyDescent="0.2">
      <c r="A16" s="93">
        <v>9</v>
      </c>
      <c r="B16" s="94" t="s">
        <v>87</v>
      </c>
      <c r="C16" s="94" t="s">
        <v>175</v>
      </c>
      <c r="D16" s="128">
        <f t="shared" si="0"/>
        <v>34514</v>
      </c>
      <c r="E16" s="94" t="s">
        <v>85</v>
      </c>
      <c r="F16" s="94" t="s">
        <v>110</v>
      </c>
      <c r="G16" s="94" t="s">
        <v>111</v>
      </c>
      <c r="H16" s="94" t="s">
        <v>86</v>
      </c>
      <c r="I16" s="94">
        <v>5.0149999999999997</v>
      </c>
      <c r="J16" s="128">
        <v>34514</v>
      </c>
      <c r="K16" s="95">
        <v>5.0149999999999997</v>
      </c>
      <c r="L16" s="95">
        <v>34.514000000000003</v>
      </c>
      <c r="M16" s="94" t="s">
        <v>7</v>
      </c>
      <c r="N16" s="505"/>
      <c r="O16" s="30" t="s">
        <v>16</v>
      </c>
      <c r="P16" s="15" t="s">
        <v>11</v>
      </c>
      <c r="Q16" s="40">
        <v>37160.216999999997</v>
      </c>
    </row>
    <row r="17" spans="1:18" ht="27.75" customHeight="1" x14ac:dyDescent="0.2">
      <c r="A17" s="93">
        <v>10</v>
      </c>
      <c r="B17" s="94" t="s">
        <v>89</v>
      </c>
      <c r="C17" s="94" t="s">
        <v>175</v>
      </c>
      <c r="D17" s="128">
        <f t="shared" si="0"/>
        <v>3330</v>
      </c>
      <c r="E17" s="94" t="s">
        <v>88</v>
      </c>
      <c r="F17" s="94" t="s">
        <v>112</v>
      </c>
      <c r="G17" s="94" t="s">
        <v>113</v>
      </c>
      <c r="H17" s="94" t="s">
        <v>86</v>
      </c>
      <c r="I17" s="94">
        <v>0.74</v>
      </c>
      <c r="J17" s="128">
        <v>3330</v>
      </c>
      <c r="K17" s="95">
        <v>0.74</v>
      </c>
      <c r="L17" s="95">
        <v>3.33</v>
      </c>
      <c r="M17" s="94" t="s">
        <v>7</v>
      </c>
      <c r="N17" s="505"/>
      <c r="O17" s="30" t="s">
        <v>15</v>
      </c>
      <c r="P17" s="15" t="s">
        <v>11</v>
      </c>
      <c r="Q17" s="40">
        <v>3478.3049999999998</v>
      </c>
    </row>
    <row r="18" spans="1:18" ht="30" customHeight="1" x14ac:dyDescent="0.2">
      <c r="A18" s="96">
        <v>11</v>
      </c>
      <c r="B18" s="94" t="s">
        <v>92</v>
      </c>
      <c r="C18" s="94" t="s">
        <v>176</v>
      </c>
      <c r="D18" s="128">
        <f t="shared" si="0"/>
        <v>27632</v>
      </c>
      <c r="E18" s="94" t="s">
        <v>90</v>
      </c>
      <c r="F18" s="94" t="s">
        <v>114</v>
      </c>
      <c r="G18" s="94" t="s">
        <v>115</v>
      </c>
      <c r="H18" s="94" t="s">
        <v>91</v>
      </c>
      <c r="I18" s="94">
        <v>3.742</v>
      </c>
      <c r="J18" s="128">
        <v>27632</v>
      </c>
      <c r="K18" s="95">
        <v>3.742</v>
      </c>
      <c r="L18" s="95">
        <v>27.632000000000001</v>
      </c>
      <c r="M18" s="94" t="s">
        <v>46</v>
      </c>
      <c r="N18" s="505"/>
      <c r="O18" s="30" t="s">
        <v>19</v>
      </c>
      <c r="P18" s="15" t="s">
        <v>11</v>
      </c>
      <c r="Q18" s="40">
        <v>30225.448</v>
      </c>
    </row>
    <row r="19" spans="1:18" ht="33" customHeight="1" x14ac:dyDescent="0.2">
      <c r="A19" s="93">
        <v>12</v>
      </c>
      <c r="B19" s="94" t="s">
        <v>94</v>
      </c>
      <c r="C19" s="94" t="s">
        <v>176</v>
      </c>
      <c r="D19" s="128">
        <f t="shared" si="0"/>
        <v>25530</v>
      </c>
      <c r="E19" s="94" t="s">
        <v>93</v>
      </c>
      <c r="F19" s="94" t="s">
        <v>116</v>
      </c>
      <c r="G19" s="94" t="s">
        <v>117</v>
      </c>
      <c r="H19" s="94" t="s">
        <v>91</v>
      </c>
      <c r="I19" s="94">
        <v>3.6560000000000001</v>
      </c>
      <c r="J19" s="128">
        <v>25530</v>
      </c>
      <c r="K19" s="95">
        <v>3.6560000000000001</v>
      </c>
      <c r="L19" s="95">
        <v>25.53</v>
      </c>
      <c r="M19" s="94" t="s">
        <v>7</v>
      </c>
      <c r="N19" s="505"/>
      <c r="O19" s="30" t="s">
        <v>19</v>
      </c>
      <c r="P19" s="15" t="s">
        <v>11</v>
      </c>
      <c r="Q19" s="40">
        <v>25193.416000000001</v>
      </c>
    </row>
    <row r="20" spans="1:18" ht="28.5" customHeight="1" x14ac:dyDescent="0.2">
      <c r="A20" s="93">
        <v>13</v>
      </c>
      <c r="B20" s="94" t="s">
        <v>96</v>
      </c>
      <c r="C20" s="94" t="s">
        <v>176</v>
      </c>
      <c r="D20" s="128">
        <f t="shared" si="0"/>
        <v>18016</v>
      </c>
      <c r="E20" s="94" t="s">
        <v>95</v>
      </c>
      <c r="F20" s="94" t="s">
        <v>118</v>
      </c>
      <c r="G20" s="94" t="s">
        <v>119</v>
      </c>
      <c r="H20" s="94" t="s">
        <v>91</v>
      </c>
      <c r="I20" s="94">
        <v>2.4780000000000002</v>
      </c>
      <c r="J20" s="128">
        <v>18016</v>
      </c>
      <c r="K20" s="95">
        <v>2.4780000000000002</v>
      </c>
      <c r="L20" s="95">
        <v>18.015999999999998</v>
      </c>
      <c r="M20" s="100" t="s">
        <v>46</v>
      </c>
      <c r="N20" s="505"/>
      <c r="O20" s="31" t="s">
        <v>15</v>
      </c>
      <c r="P20" s="15" t="s">
        <v>11</v>
      </c>
      <c r="Q20" s="40">
        <v>18778.282999999999</v>
      </c>
    </row>
    <row r="21" spans="1:18" ht="30" customHeight="1" thickBot="1" x14ac:dyDescent="0.25">
      <c r="A21" s="120">
        <v>14</v>
      </c>
      <c r="B21" s="110" t="s">
        <v>98</v>
      </c>
      <c r="C21" s="142" t="s">
        <v>176</v>
      </c>
      <c r="D21" s="128">
        <f t="shared" si="0"/>
        <v>12960</v>
      </c>
      <c r="E21" s="110" t="s">
        <v>97</v>
      </c>
      <c r="F21" s="110" t="s">
        <v>120</v>
      </c>
      <c r="G21" s="110" t="s">
        <v>121</v>
      </c>
      <c r="H21" s="110" t="s">
        <v>91</v>
      </c>
      <c r="I21" s="110">
        <v>1.712</v>
      </c>
      <c r="J21" s="129">
        <v>12960</v>
      </c>
      <c r="K21" s="111">
        <v>1.712</v>
      </c>
      <c r="L21" s="111">
        <v>12.96</v>
      </c>
      <c r="M21" s="98" t="s">
        <v>7</v>
      </c>
      <c r="N21" s="506"/>
      <c r="O21" s="41" t="s">
        <v>15</v>
      </c>
      <c r="P21" s="47" t="s">
        <v>11</v>
      </c>
      <c r="Q21" s="43">
        <v>13444.384</v>
      </c>
    </row>
    <row r="22" spans="1:18" ht="26.25" customHeight="1" thickBot="1" x14ac:dyDescent="0.25">
      <c r="A22" s="4">
        <v>15</v>
      </c>
      <c r="B22" s="116" t="s">
        <v>161</v>
      </c>
      <c r="C22" s="145" t="s">
        <v>174</v>
      </c>
      <c r="D22" s="145" t="s">
        <v>180</v>
      </c>
      <c r="E22" s="116" t="s">
        <v>99</v>
      </c>
      <c r="F22" s="116" t="s">
        <v>134</v>
      </c>
      <c r="G22" s="116" t="s">
        <v>135</v>
      </c>
      <c r="H22" s="116" t="s">
        <v>78</v>
      </c>
      <c r="I22" s="116">
        <v>1.28</v>
      </c>
      <c r="J22" s="130">
        <v>7680</v>
      </c>
      <c r="K22" s="5">
        <v>1.28</v>
      </c>
      <c r="L22" s="5">
        <v>7.68</v>
      </c>
      <c r="M22" s="49" t="s">
        <v>13</v>
      </c>
      <c r="N22" s="50" t="s">
        <v>40</v>
      </c>
      <c r="O22" s="51" t="s">
        <v>14</v>
      </c>
      <c r="P22" s="52" t="s">
        <v>10</v>
      </c>
      <c r="Q22" s="53">
        <v>7374.4182199999996</v>
      </c>
    </row>
    <row r="23" spans="1:18" ht="28.5" customHeight="1" thickBot="1" x14ac:dyDescent="0.25">
      <c r="A23" s="4">
        <v>16</v>
      </c>
      <c r="B23" s="116" t="s">
        <v>162</v>
      </c>
      <c r="C23" s="145" t="s">
        <v>176</v>
      </c>
      <c r="D23" s="130">
        <f>J23</f>
        <v>10501</v>
      </c>
      <c r="E23" s="116" t="s">
        <v>100</v>
      </c>
      <c r="F23" s="116" t="s">
        <v>136</v>
      </c>
      <c r="G23" s="116" t="s">
        <v>137</v>
      </c>
      <c r="H23" s="116" t="s">
        <v>91</v>
      </c>
      <c r="I23" s="116">
        <v>1.92</v>
      </c>
      <c r="J23" s="130">
        <v>10501</v>
      </c>
      <c r="K23" s="5">
        <v>1.92</v>
      </c>
      <c r="L23" s="5">
        <v>10.500999999999999</v>
      </c>
      <c r="M23" s="49" t="s">
        <v>8</v>
      </c>
      <c r="N23" s="50" t="s">
        <v>41</v>
      </c>
      <c r="O23" s="51" t="s">
        <v>14</v>
      </c>
      <c r="P23" s="52" t="s">
        <v>10</v>
      </c>
      <c r="Q23" s="53">
        <v>11092.292240000001</v>
      </c>
    </row>
    <row r="24" spans="1:18" ht="25.5" customHeight="1" x14ac:dyDescent="0.2">
      <c r="A24" s="489">
        <v>17</v>
      </c>
      <c r="B24" s="480" t="s">
        <v>141</v>
      </c>
      <c r="C24" s="144" t="s">
        <v>177</v>
      </c>
      <c r="D24" s="144" t="s">
        <v>179</v>
      </c>
      <c r="E24" s="133" t="s">
        <v>138</v>
      </c>
      <c r="F24" s="133" t="s">
        <v>147</v>
      </c>
      <c r="G24" s="133" t="s">
        <v>148</v>
      </c>
      <c r="H24" s="480" t="s">
        <v>140</v>
      </c>
      <c r="I24" s="133">
        <v>2.1850000000000001</v>
      </c>
      <c r="J24" s="134">
        <v>17068</v>
      </c>
      <c r="K24" s="491">
        <v>5.05</v>
      </c>
      <c r="L24" s="492">
        <v>40.179000000000002</v>
      </c>
      <c r="M24" s="493"/>
      <c r="N24" s="494"/>
      <c r="O24" s="45" t="s">
        <v>16</v>
      </c>
      <c r="P24" s="38" t="s">
        <v>10</v>
      </c>
      <c r="Q24" s="39">
        <v>33520.404799999997</v>
      </c>
      <c r="R24" s="105">
        <f>J24/1000/I24</f>
        <v>7.8114416475972543</v>
      </c>
    </row>
    <row r="25" spans="1:18" ht="25.5" customHeight="1" x14ac:dyDescent="0.2">
      <c r="A25" s="475"/>
      <c r="B25" s="490"/>
      <c r="C25" s="147"/>
      <c r="D25" s="147" t="s">
        <v>179</v>
      </c>
      <c r="E25" s="12" t="s">
        <v>139</v>
      </c>
      <c r="F25" s="12" t="s">
        <v>149</v>
      </c>
      <c r="G25" s="12" t="s">
        <v>150</v>
      </c>
      <c r="H25" s="479"/>
      <c r="I25" s="12">
        <v>2.8650000000000002</v>
      </c>
      <c r="J25" s="130">
        <v>23111</v>
      </c>
      <c r="K25" s="471"/>
      <c r="L25" s="469"/>
      <c r="M25" s="479"/>
      <c r="N25" s="495"/>
      <c r="O25" s="31" t="s">
        <v>16</v>
      </c>
      <c r="P25" s="15" t="s">
        <v>11</v>
      </c>
      <c r="Q25" s="40">
        <v>28661.369200000001</v>
      </c>
      <c r="R25" s="105">
        <f t="shared" ref="R25:R29" si="1">J25/1000/I25</f>
        <v>8.0666666666666664</v>
      </c>
    </row>
    <row r="26" spans="1:18" ht="25.5" customHeight="1" x14ac:dyDescent="0.2">
      <c r="A26" s="474">
        <v>18</v>
      </c>
      <c r="B26" s="478" t="s">
        <v>163</v>
      </c>
      <c r="C26" s="143" t="s">
        <v>178</v>
      </c>
      <c r="D26" s="131">
        <f>J26</f>
        <v>23850</v>
      </c>
      <c r="E26" s="12" t="s">
        <v>142</v>
      </c>
      <c r="F26" s="12" t="s">
        <v>155</v>
      </c>
      <c r="G26" s="12" t="s">
        <v>156</v>
      </c>
      <c r="H26" s="478" t="s">
        <v>144</v>
      </c>
      <c r="I26" s="12">
        <v>3.55</v>
      </c>
      <c r="J26" s="130">
        <v>23850</v>
      </c>
      <c r="K26" s="470">
        <v>4.93</v>
      </c>
      <c r="L26" s="468">
        <v>32.475000000000001</v>
      </c>
      <c r="M26" s="12"/>
      <c r="N26" s="13"/>
      <c r="O26" s="31" t="s">
        <v>16</v>
      </c>
      <c r="P26" s="36" t="s">
        <v>10</v>
      </c>
      <c r="Q26" s="40">
        <v>49715.130409999998</v>
      </c>
      <c r="R26" s="105">
        <f t="shared" si="1"/>
        <v>6.71830985915493</v>
      </c>
    </row>
    <row r="27" spans="1:18" ht="25.5" customHeight="1" x14ac:dyDescent="0.2">
      <c r="A27" s="475"/>
      <c r="B27" s="479"/>
      <c r="C27" s="137"/>
      <c r="D27" s="137" t="s">
        <v>180</v>
      </c>
      <c r="E27" s="12" t="s">
        <v>143</v>
      </c>
      <c r="F27" s="12" t="s">
        <v>157</v>
      </c>
      <c r="G27" s="12" t="s">
        <v>158</v>
      </c>
      <c r="H27" s="479"/>
      <c r="I27" s="12">
        <v>1.38</v>
      </c>
      <c r="J27" s="131">
        <v>8625</v>
      </c>
      <c r="K27" s="471"/>
      <c r="L27" s="469"/>
      <c r="M27" s="112"/>
      <c r="N27" s="113"/>
      <c r="O27" s="114"/>
      <c r="P27" s="108"/>
      <c r="Q27" s="115"/>
      <c r="R27" s="105">
        <f t="shared" si="1"/>
        <v>6.2500000000000009</v>
      </c>
    </row>
    <row r="28" spans="1:18" ht="30" customHeight="1" x14ac:dyDescent="0.2">
      <c r="A28" s="476">
        <v>19</v>
      </c>
      <c r="B28" s="481" t="s">
        <v>164</v>
      </c>
      <c r="C28" s="145" t="s">
        <v>177</v>
      </c>
      <c r="D28" s="145" t="s">
        <v>179</v>
      </c>
      <c r="E28" s="12" t="s">
        <v>145</v>
      </c>
      <c r="F28" s="12" t="s">
        <v>151</v>
      </c>
      <c r="G28" s="12" t="s">
        <v>152</v>
      </c>
      <c r="H28" s="478" t="s">
        <v>140</v>
      </c>
      <c r="I28" s="12">
        <v>2.6</v>
      </c>
      <c r="J28" s="130">
        <v>16336</v>
      </c>
      <c r="K28" s="468">
        <v>4.9340000000000002</v>
      </c>
      <c r="L28" s="468">
        <v>31.934999999999999</v>
      </c>
      <c r="M28" s="117"/>
      <c r="N28" s="13"/>
      <c r="O28" s="31" t="s">
        <v>16</v>
      </c>
      <c r="P28" s="118" t="s">
        <v>11</v>
      </c>
      <c r="Q28" s="117">
        <v>49506.802799999998</v>
      </c>
      <c r="R28" s="105">
        <f t="shared" si="1"/>
        <v>6.2830769230769219</v>
      </c>
    </row>
    <row r="29" spans="1:18" ht="30" customHeight="1" x14ac:dyDescent="0.2">
      <c r="A29" s="477"/>
      <c r="B29" s="481"/>
      <c r="C29" s="145"/>
      <c r="D29" s="145" t="s">
        <v>179</v>
      </c>
      <c r="E29" s="12" t="s">
        <v>146</v>
      </c>
      <c r="F29" s="12" t="s">
        <v>153</v>
      </c>
      <c r="G29" s="12" t="s">
        <v>154</v>
      </c>
      <c r="H29" s="479"/>
      <c r="I29" s="12">
        <v>2.3340000000000001</v>
      </c>
      <c r="J29" s="130">
        <v>15599</v>
      </c>
      <c r="K29" s="469"/>
      <c r="L29" s="469"/>
      <c r="M29" s="117"/>
      <c r="N29" s="13"/>
      <c r="O29" s="31"/>
      <c r="P29" s="118"/>
      <c r="Q29" s="117"/>
      <c r="R29" s="105">
        <f t="shared" si="1"/>
        <v>6.6833761782347896</v>
      </c>
    </row>
    <row r="30" spans="1:18" ht="30" customHeight="1" x14ac:dyDescent="0.2">
      <c r="A30" s="4"/>
      <c r="B30" s="123" t="s">
        <v>36</v>
      </c>
      <c r="C30" s="123"/>
      <c r="D30" s="123"/>
      <c r="E30" s="12"/>
      <c r="F30" s="12"/>
      <c r="G30" s="12"/>
      <c r="H30" s="12"/>
      <c r="I30" s="12"/>
      <c r="J30" s="12"/>
      <c r="K30" s="74" t="s">
        <v>37</v>
      </c>
      <c r="L30" s="74" t="s">
        <v>37</v>
      </c>
      <c r="M30" s="74" t="s">
        <v>37</v>
      </c>
      <c r="N30" s="74" t="s">
        <v>37</v>
      </c>
      <c r="O30" s="31"/>
      <c r="P30" s="119" t="s">
        <v>10</v>
      </c>
      <c r="Q30" s="117">
        <f>2263.90314-34.32081</f>
        <v>2229.5823299999997</v>
      </c>
    </row>
    <row r="31" spans="1:18" x14ac:dyDescent="0.2">
      <c r="A31" s="54"/>
      <c r="B31" s="54"/>
      <c r="C31" s="54"/>
      <c r="D31" s="131">
        <f>SUM(D5:D30)</f>
        <v>337442</v>
      </c>
      <c r="E31" s="54"/>
      <c r="F31" s="54"/>
      <c r="G31" s="54"/>
      <c r="H31" s="54"/>
      <c r="I31" s="54"/>
      <c r="J31" s="54"/>
      <c r="K31" s="54"/>
      <c r="L31" s="54"/>
      <c r="M31" s="28"/>
      <c r="N31" s="29"/>
      <c r="O31" s="55"/>
      <c r="P31" s="56" t="s">
        <v>20</v>
      </c>
      <c r="Q31" s="57">
        <f>SUM(Q5:Q30)</f>
        <v>650999.99999999988</v>
      </c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9"/>
      <c r="N32" s="8"/>
      <c r="O32" s="8"/>
      <c r="P32" s="17" t="s">
        <v>10</v>
      </c>
      <c r="Q32" s="16">
        <f>Q5+Q6+Q7+Q8+Q9+Q11+Q22+Q23+Q24+Q26+Q30</f>
        <v>381000</v>
      </c>
    </row>
    <row r="33" spans="1:17" x14ac:dyDescent="0.2">
      <c r="A33" s="4"/>
      <c r="B33" s="5"/>
      <c r="C33" s="5"/>
      <c r="D33" s="5"/>
      <c r="E33" s="5"/>
      <c r="F33" s="5"/>
      <c r="G33" s="5"/>
      <c r="H33" s="5"/>
      <c r="I33" s="5"/>
      <c r="J33" s="5"/>
      <c r="K33" s="7"/>
      <c r="L33" s="6"/>
      <c r="M33" s="9"/>
      <c r="N33" s="8"/>
      <c r="O33" s="8"/>
      <c r="P33" s="17" t="s">
        <v>11</v>
      </c>
      <c r="Q33" s="16">
        <f>Q12+Q13+Q15+Q16+Q17+Q18+Q19+Q20+Q21+Q25+Q28</f>
        <v>270000</v>
      </c>
    </row>
    <row r="34" spans="1:17" ht="13.5" thickBot="1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7"/>
      <c r="L34" s="64"/>
      <c r="M34" s="21"/>
      <c r="N34" s="19"/>
      <c r="O34" s="19"/>
      <c r="P34" s="20"/>
      <c r="Q34" s="16">
        <f>Q32+Q33</f>
        <v>651000</v>
      </c>
    </row>
    <row r="35" spans="1:17" ht="19.5" customHeight="1" thickBot="1" x14ac:dyDescent="0.25">
      <c r="A35" s="4"/>
      <c r="B35" s="5"/>
      <c r="C35" s="106"/>
      <c r="D35" s="106"/>
      <c r="E35" s="106"/>
      <c r="F35" s="106"/>
      <c r="G35" s="106"/>
      <c r="H35" s="106"/>
      <c r="I35" s="106"/>
      <c r="J35" s="106"/>
      <c r="K35" s="63"/>
      <c r="L35" s="6"/>
      <c r="M35" s="71"/>
      <c r="N35" s="79" t="s">
        <v>18</v>
      </c>
      <c r="O35" s="78" t="s">
        <v>47</v>
      </c>
      <c r="P35" s="76" t="s">
        <v>48</v>
      </c>
      <c r="Q35" s="18"/>
    </row>
    <row r="36" spans="1:17" x14ac:dyDescent="0.2">
      <c r="A36" s="4"/>
      <c r="B36" s="2"/>
      <c r="C36" s="22"/>
      <c r="D36" s="22"/>
      <c r="E36" s="22"/>
      <c r="F36" s="22"/>
      <c r="G36" s="22"/>
      <c r="H36" s="22"/>
      <c r="I36" s="22"/>
      <c r="J36" s="22"/>
      <c r="K36" s="26"/>
      <c r="L36" s="65"/>
      <c r="M36" s="65" t="s">
        <v>49</v>
      </c>
      <c r="N36" s="80">
        <f t="shared" ref="N36:N39" si="2">O36+P36</f>
        <v>300</v>
      </c>
      <c r="O36" s="72">
        <v>300</v>
      </c>
      <c r="P36" s="73">
        <v>0</v>
      </c>
      <c r="Q36" s="25"/>
    </row>
    <row r="37" spans="1:17" x14ac:dyDescent="0.2">
      <c r="A37" s="4"/>
      <c r="B37" s="2"/>
      <c r="C37" s="22"/>
      <c r="D37" s="22"/>
      <c r="E37" s="22"/>
      <c r="F37" s="22"/>
      <c r="G37" s="22"/>
      <c r="H37" s="22"/>
      <c r="I37" s="22"/>
      <c r="J37" s="22"/>
      <c r="K37" s="26"/>
      <c r="L37" s="65"/>
      <c r="M37" s="65" t="s">
        <v>50</v>
      </c>
      <c r="N37" s="81">
        <f t="shared" si="2"/>
        <v>270</v>
      </c>
      <c r="O37" s="67">
        <v>270</v>
      </c>
      <c r="P37" s="70">
        <v>0</v>
      </c>
      <c r="Q37" s="25"/>
    </row>
    <row r="38" spans="1:17" x14ac:dyDescent="0.2">
      <c r="A38" s="4"/>
      <c r="B38" s="2"/>
      <c r="C38" s="22"/>
      <c r="D38" s="22"/>
      <c r="E38" s="22"/>
      <c r="F38" s="22"/>
      <c r="G38" s="22"/>
      <c r="H38" s="22"/>
      <c r="I38" s="22"/>
      <c r="J38" s="22"/>
      <c r="K38" s="26"/>
      <c r="L38" s="65"/>
      <c r="M38" s="65" t="s">
        <v>51</v>
      </c>
      <c r="N38" s="81">
        <f t="shared" si="2"/>
        <v>70</v>
      </c>
      <c r="O38" s="67">
        <v>70</v>
      </c>
      <c r="P38" s="70">
        <v>0</v>
      </c>
      <c r="Q38" s="25"/>
    </row>
    <row r="39" spans="1:17" x14ac:dyDescent="0.2">
      <c r="A39" s="4"/>
      <c r="B39" s="2"/>
      <c r="C39" s="22"/>
      <c r="D39" s="22"/>
      <c r="E39" s="22"/>
      <c r="F39" s="22"/>
      <c r="G39" s="22"/>
      <c r="H39" s="22"/>
      <c r="I39" s="22"/>
      <c r="J39" s="22"/>
      <c r="K39" s="26"/>
      <c r="L39" s="65"/>
      <c r="M39" s="65" t="s">
        <v>52</v>
      </c>
      <c r="N39" s="81">
        <f t="shared" si="2"/>
        <v>50</v>
      </c>
      <c r="O39" s="67">
        <v>50</v>
      </c>
      <c r="P39" s="70">
        <v>0</v>
      </c>
      <c r="Q39" s="25"/>
    </row>
    <row r="40" spans="1:17" x14ac:dyDescent="0.2">
      <c r="A40" s="4"/>
      <c r="B40" s="2"/>
      <c r="C40" s="22"/>
      <c r="D40" s="22"/>
      <c r="E40" s="22"/>
      <c r="F40" s="22"/>
      <c r="G40" s="22"/>
      <c r="H40" s="22"/>
      <c r="I40" s="22"/>
      <c r="J40" s="22"/>
      <c r="K40" s="26"/>
      <c r="L40" s="65"/>
      <c r="M40" s="65" t="s">
        <v>14</v>
      </c>
      <c r="N40" s="82">
        <f>O40+P40</f>
        <v>148653.79428999999</v>
      </c>
      <c r="O40" s="66">
        <f>Q5/2+Q11+Q22+Q23+200</f>
        <v>112211.95529</v>
      </c>
      <c r="P40" s="70">
        <f>Q12+Q15</f>
        <v>36441.839</v>
      </c>
      <c r="Q40" s="25"/>
    </row>
    <row r="41" spans="1:17" x14ac:dyDescent="0.2">
      <c r="A41" s="4"/>
      <c r="B41" s="2"/>
      <c r="C41" s="22"/>
      <c r="D41" s="22"/>
      <c r="E41" s="22"/>
      <c r="F41" s="22"/>
      <c r="G41" s="22"/>
      <c r="H41" s="22"/>
      <c r="I41" s="22"/>
      <c r="J41" s="22"/>
      <c r="K41" s="26"/>
      <c r="L41" s="65"/>
      <c r="M41" s="65" t="s">
        <v>15</v>
      </c>
      <c r="N41" s="82">
        <f t="shared" ref="N41:N47" si="3">O41+P41</f>
        <v>102378.04483</v>
      </c>
      <c r="O41" s="66">
        <f>Q5/2+300</f>
        <v>66677.072830000005</v>
      </c>
      <c r="P41" s="70">
        <f>Q17+Q20+Q21</f>
        <v>35700.972000000002</v>
      </c>
      <c r="Q41" s="25"/>
    </row>
    <row r="42" spans="1:17" x14ac:dyDescent="0.2">
      <c r="A42" s="4"/>
      <c r="B42" s="2"/>
      <c r="C42" s="22"/>
      <c r="D42" s="22"/>
      <c r="E42" s="22"/>
      <c r="F42" s="22"/>
      <c r="G42" s="22"/>
      <c r="H42" s="22"/>
      <c r="I42" s="22"/>
      <c r="J42" s="22"/>
      <c r="K42" s="26"/>
      <c r="L42" s="65"/>
      <c r="M42" s="65" t="s">
        <v>16</v>
      </c>
      <c r="N42" s="82">
        <f t="shared" si="3"/>
        <v>324585.58815000003</v>
      </c>
      <c r="O42" s="66">
        <f>Q6+Q7+Q9+150+Q24+Q26</f>
        <v>182147.26315000001</v>
      </c>
      <c r="P42" s="70">
        <f>Q13+Q16+Q25+Q28</f>
        <v>142438.32500000001</v>
      </c>
      <c r="Q42" s="25"/>
    </row>
    <row r="43" spans="1:17" x14ac:dyDescent="0.2">
      <c r="A43" s="4"/>
      <c r="B43" s="2"/>
      <c r="C43" s="22"/>
      <c r="D43" s="22"/>
      <c r="E43" s="22"/>
      <c r="F43" s="22"/>
      <c r="G43" s="22"/>
      <c r="H43" s="22"/>
      <c r="I43" s="22"/>
      <c r="J43" s="22"/>
      <c r="K43" s="26"/>
      <c r="L43" s="65"/>
      <c r="M43" s="65" t="s">
        <v>19</v>
      </c>
      <c r="N43" s="82">
        <f t="shared" si="3"/>
        <v>73842.99040000001</v>
      </c>
      <c r="O43" s="66">
        <f>Q8+40</f>
        <v>18424.126400000001</v>
      </c>
      <c r="P43" s="70">
        <f>Q18+Q19</f>
        <v>55418.864000000001</v>
      </c>
      <c r="Q43" s="25"/>
    </row>
    <row r="44" spans="1:17" x14ac:dyDescent="0.2">
      <c r="A44" s="4"/>
      <c r="B44" s="2"/>
      <c r="C44" s="22"/>
      <c r="D44" s="22"/>
      <c r="E44" s="22"/>
      <c r="F44" s="22"/>
      <c r="G44" s="22"/>
      <c r="H44" s="22"/>
      <c r="I44" s="22"/>
      <c r="J44" s="22"/>
      <c r="K44" s="26"/>
      <c r="L44" s="65"/>
      <c r="M44" s="65" t="s">
        <v>17</v>
      </c>
      <c r="N44" s="82">
        <f t="shared" si="3"/>
        <v>215.68233000000001</v>
      </c>
      <c r="O44" s="66">
        <f>250-34.31767</f>
        <v>215.68233000000001</v>
      </c>
      <c r="P44" s="70">
        <v>0</v>
      </c>
      <c r="Q44" s="25"/>
    </row>
    <row r="45" spans="1:17" x14ac:dyDescent="0.2">
      <c r="A45" s="4"/>
      <c r="B45" s="2"/>
      <c r="C45" s="22"/>
      <c r="D45" s="22"/>
      <c r="E45" s="22"/>
      <c r="F45" s="22"/>
      <c r="G45" s="22"/>
      <c r="H45" s="22"/>
      <c r="I45" s="22"/>
      <c r="J45" s="22"/>
      <c r="K45" s="26"/>
      <c r="L45" s="65"/>
      <c r="M45" s="65" t="s">
        <v>53</v>
      </c>
      <c r="N45" s="81">
        <f t="shared" si="3"/>
        <v>200</v>
      </c>
      <c r="O45" s="67">
        <v>200</v>
      </c>
      <c r="P45" s="70">
        <v>0</v>
      </c>
      <c r="Q45" s="25"/>
    </row>
    <row r="46" spans="1:17" x14ac:dyDescent="0.2">
      <c r="A46" s="4"/>
      <c r="B46" s="2"/>
      <c r="C46" s="22"/>
      <c r="D46" s="22"/>
      <c r="E46" s="22"/>
      <c r="F46" s="22"/>
      <c r="G46" s="22"/>
      <c r="H46" s="22"/>
      <c r="I46" s="22"/>
      <c r="J46" s="22"/>
      <c r="K46" s="26"/>
      <c r="L46" s="65"/>
      <c r="M46" s="65" t="s">
        <v>54</v>
      </c>
      <c r="N46" s="81">
        <f t="shared" si="3"/>
        <v>183.9</v>
      </c>
      <c r="O46" s="67">
        <v>183.9</v>
      </c>
      <c r="P46" s="70">
        <v>0</v>
      </c>
      <c r="Q46" s="25"/>
    </row>
    <row r="47" spans="1:17" x14ac:dyDescent="0.2">
      <c r="A47" s="4"/>
      <c r="B47" s="2"/>
      <c r="C47" s="22"/>
      <c r="D47" s="22"/>
      <c r="E47" s="22"/>
      <c r="F47" s="22"/>
      <c r="G47" s="22"/>
      <c r="H47" s="22"/>
      <c r="I47" s="22"/>
      <c r="J47" s="22"/>
      <c r="K47" s="26"/>
      <c r="L47" s="65"/>
      <c r="M47" s="65" t="s">
        <v>55</v>
      </c>
      <c r="N47" s="81">
        <f t="shared" si="3"/>
        <v>250</v>
      </c>
      <c r="O47" s="67">
        <v>250</v>
      </c>
      <c r="P47" s="70">
        <v>0</v>
      </c>
      <c r="Q47" s="25"/>
    </row>
    <row r="48" spans="1:17" x14ac:dyDescent="0.2">
      <c r="A48" s="4"/>
      <c r="B48" s="2"/>
      <c r="C48" s="22"/>
      <c r="D48" s="22"/>
      <c r="E48" s="22"/>
      <c r="F48" s="22"/>
      <c r="G48" s="22"/>
      <c r="H48" s="22"/>
      <c r="I48" s="22"/>
      <c r="J48" s="22"/>
      <c r="K48" s="22"/>
      <c r="L48" s="68"/>
      <c r="M48" s="68" t="s">
        <v>18</v>
      </c>
      <c r="N48" s="83">
        <f>N36+N37+N38+N39+N40+N41+N42+N43+N44+N45+N46+N47</f>
        <v>651000</v>
      </c>
      <c r="O48" s="69">
        <f t="shared" ref="O48:P48" si="4">O36+O37+O38+O39+O40+O41+O42+O43+O44+O45+O46+O47</f>
        <v>381000.00000000006</v>
      </c>
      <c r="P48" s="77">
        <f t="shared" si="4"/>
        <v>270000</v>
      </c>
      <c r="Q48" s="75">
        <f>381000-O48</f>
        <v>0</v>
      </c>
    </row>
    <row r="49" spans="1:17" ht="13.5" thickBot="1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3"/>
      <c r="M49" s="406"/>
      <c r="N49" s="407"/>
      <c r="O49" s="404">
        <f>O48+P48</f>
        <v>651000</v>
      </c>
      <c r="P49" s="482"/>
      <c r="Q49" s="75"/>
    </row>
    <row r="50" spans="1:17" x14ac:dyDescent="0.2">
      <c r="M50" s="61"/>
      <c r="N50" s="62"/>
      <c r="O50" s="60">
        <f>O49-Q31</f>
        <v>0</v>
      </c>
      <c r="P50" s="60"/>
    </row>
    <row r="62" spans="1:17" ht="102" x14ac:dyDescent="0.2">
      <c r="B62" s="5" t="s">
        <v>56</v>
      </c>
      <c r="C62" s="106"/>
      <c r="D62" s="106"/>
      <c r="E62" s="106"/>
      <c r="F62" s="106"/>
      <c r="G62" s="106"/>
      <c r="H62" s="106"/>
      <c r="I62" s="106"/>
      <c r="J62" s="106"/>
      <c r="K62" s="63">
        <v>14.914000000000001</v>
      </c>
      <c r="L62" s="6">
        <v>104.589</v>
      </c>
    </row>
  </sheetData>
  <autoFilter ref="A4:Q4" xr:uid="{00000000-0009-0000-0000-000003000000}"/>
  <mergeCells count="54">
    <mergeCell ref="A1:Q1"/>
    <mergeCell ref="A2:A3"/>
    <mergeCell ref="B2:B3"/>
    <mergeCell ref="K2:K3"/>
    <mergeCell ref="L2:L3"/>
    <mergeCell ref="M2:M3"/>
    <mergeCell ref="N2:N3"/>
    <mergeCell ref="O2:O3"/>
    <mergeCell ref="P2:P3"/>
    <mergeCell ref="Q2:Q3"/>
    <mergeCell ref="F2:G2"/>
    <mergeCell ref="I2:I3"/>
    <mergeCell ref="J2:J3"/>
    <mergeCell ref="N5:N9"/>
    <mergeCell ref="A11:A12"/>
    <mergeCell ref="B11:B12"/>
    <mergeCell ref="K11:K12"/>
    <mergeCell ref="L11:L12"/>
    <mergeCell ref="M11:M12"/>
    <mergeCell ref="N11:N21"/>
    <mergeCell ref="H13:H14"/>
    <mergeCell ref="K13:K14"/>
    <mergeCell ref="L13:L14"/>
    <mergeCell ref="A13:A14"/>
    <mergeCell ref="J11:J12"/>
    <mergeCell ref="J13:J14"/>
    <mergeCell ref="M49:N49"/>
    <mergeCell ref="O49:P49"/>
    <mergeCell ref="B9:B10"/>
    <mergeCell ref="A9:A10"/>
    <mergeCell ref="H9:H10"/>
    <mergeCell ref="M9:M10"/>
    <mergeCell ref="L9:L10"/>
    <mergeCell ref="B13:B14"/>
    <mergeCell ref="H11:H12"/>
    <mergeCell ref="K9:K10"/>
    <mergeCell ref="A24:A25"/>
    <mergeCell ref="B24:B25"/>
    <mergeCell ref="K24:K25"/>
    <mergeCell ref="L24:L25"/>
    <mergeCell ref="M24:M25"/>
    <mergeCell ref="N24:N25"/>
    <mergeCell ref="A26:A27"/>
    <mergeCell ref="A28:A29"/>
    <mergeCell ref="H26:H27"/>
    <mergeCell ref="H28:H29"/>
    <mergeCell ref="H24:H25"/>
    <mergeCell ref="B26:B27"/>
    <mergeCell ref="B28:B29"/>
    <mergeCell ref="K28:K29"/>
    <mergeCell ref="L28:L29"/>
    <mergeCell ref="K26:K27"/>
    <mergeCell ref="L26:L27"/>
    <mergeCell ref="M13:M14"/>
  </mergeCells>
  <conditionalFormatting sqref="B9:J9 B11:J11 E10:G10 E14:G14 B13:J13 I14 B28:J28 E27 B30:J30 I27:J27 I29:J29 B26:E26 H26:J26 E29:G29 B5:I8 B15:J24">
    <cfRule type="expression" dxfId="11" priority="7">
      <formula>#REF!="отказ собственников"</formula>
    </cfRule>
    <cfRule type="expression" dxfId="10" priority="8">
      <formula>#REF!="оплачено"</formula>
    </cfRule>
    <cfRule type="expression" dxfId="9" priority="9">
      <formula>#REF!="согласование ПСД"</formula>
    </cfRule>
    <cfRule type="expression" dxfId="8" priority="10">
      <formula>#REF!="подготовка к торгам"</formula>
    </cfRule>
    <cfRule type="expression" dxfId="7" priority="11">
      <formula>#REF!="на торгах"</formula>
    </cfRule>
    <cfRule type="expression" dxfId="6" priority="12">
      <formula>#REF!="СМР"</formula>
    </cfRule>
  </conditionalFormatting>
  <conditionalFormatting sqref="D31">
    <cfRule type="expression" dxfId="5" priority="1">
      <formula>#REF!="отказ собственников"</formula>
    </cfRule>
    <cfRule type="expression" dxfId="4" priority="2">
      <formula>#REF!="оплачено"</formula>
    </cfRule>
    <cfRule type="expression" dxfId="3" priority="3">
      <formula>#REF!="согласование ПСД"</formula>
    </cfRule>
    <cfRule type="expression" dxfId="2" priority="4">
      <formula>#REF!="подготовка к торгам"</formula>
    </cfRule>
    <cfRule type="expression" dxfId="1" priority="5">
      <formula>#REF!="на торгах"</formula>
    </cfRule>
    <cfRule type="expression" dxfId="0" priority="6">
      <formula>#REF!="СМР"</formula>
    </cfRule>
  </conditionalFormatting>
  <printOptions horizontalCentered="1"/>
  <pageMargins left="0.19685039370078741" right="0.19685039370078741" top="0.39370078740157483" bottom="0.47244094488188981" header="0.31496062992125984" footer="0.31496062992125984"/>
  <pageSetup paperSize="9" scale="57" fitToHeight="40" orientation="landscape" r:id="rId1"/>
  <headerFooter>
    <oddFooter>&amp;L&amp;P</oddFooter>
  </headerFooter>
  <rowBreaks count="1" manualBreakCount="1">
    <brk id="30" max="14" man="1"/>
  </rowBreaks>
  <colBreaks count="1" manualBreakCount="1">
    <brk id="12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workbookViewId="0">
      <selection activeCell="B1" sqref="B1"/>
    </sheetView>
  </sheetViews>
  <sheetFormatPr defaultRowHeight="12.75" x14ac:dyDescent="0.2"/>
  <cols>
    <col min="1" max="1" width="36.140625" customWidth="1"/>
    <col min="2" max="2" width="21.85546875" customWidth="1"/>
    <col min="3" max="3" width="22.28515625" customWidth="1"/>
    <col min="4" max="4" width="21.28515625" customWidth="1"/>
    <col min="5" max="5" width="25" customWidth="1"/>
  </cols>
  <sheetData>
    <row r="1" spans="1:5" ht="18.75" x14ac:dyDescent="0.3">
      <c r="A1" s="305"/>
      <c r="B1" s="305"/>
      <c r="C1" s="305"/>
      <c r="D1" s="305"/>
      <c r="E1" s="305"/>
    </row>
    <row r="2" spans="1:5" ht="44.25" customHeight="1" x14ac:dyDescent="0.3">
      <c r="A2" s="517" t="s">
        <v>224</v>
      </c>
      <c r="B2" s="517"/>
      <c r="C2" s="517"/>
      <c r="D2" s="517"/>
      <c r="E2" s="517"/>
    </row>
    <row r="3" spans="1:5" ht="18.75" x14ac:dyDescent="0.3">
      <c r="A3" s="305"/>
      <c r="B3" s="305"/>
      <c r="C3" s="305"/>
      <c r="D3" s="305"/>
      <c r="E3" s="311" t="s">
        <v>225</v>
      </c>
    </row>
    <row r="4" spans="1:5" s="304" customFormat="1" ht="37.5" x14ac:dyDescent="0.2">
      <c r="A4" s="260"/>
      <c r="B4" s="263" t="s">
        <v>219</v>
      </c>
      <c r="C4" s="263" t="s">
        <v>220</v>
      </c>
      <c r="D4" s="306" t="s">
        <v>222</v>
      </c>
      <c r="E4" s="263" t="s">
        <v>221</v>
      </c>
    </row>
    <row r="5" spans="1:5" ht="18.75" x14ac:dyDescent="0.3">
      <c r="A5" s="307" t="s">
        <v>218</v>
      </c>
      <c r="B5" s="308">
        <f>B6+B7</f>
        <v>651000</v>
      </c>
      <c r="C5" s="309">
        <f t="shared" ref="C5:E5" si="0">C6+C7</f>
        <v>414663.29110000003</v>
      </c>
      <c r="D5" s="310">
        <f>C5/B5</f>
        <v>0.63696358079877113</v>
      </c>
      <c r="E5" s="309">
        <f t="shared" si="0"/>
        <v>236336.7089</v>
      </c>
    </row>
    <row r="6" spans="1:5" ht="18.75" x14ac:dyDescent="0.3">
      <c r="A6" s="307" t="s">
        <v>10</v>
      </c>
      <c r="B6" s="308">
        <v>381000</v>
      </c>
      <c r="C6" s="309">
        <v>192428.77410000001</v>
      </c>
      <c r="D6" s="310">
        <f t="shared" ref="D6:D7" si="1">C6/B6</f>
        <v>0.50506239921259843</v>
      </c>
      <c r="E6" s="309">
        <f>B6-C6</f>
        <v>188571.22589999999</v>
      </c>
    </row>
    <row r="7" spans="1:5" ht="18.75" x14ac:dyDescent="0.3">
      <c r="A7" s="307" t="s">
        <v>11</v>
      </c>
      <c r="B7" s="308">
        <v>270000</v>
      </c>
      <c r="C7" s="309">
        <v>222234.51699999999</v>
      </c>
      <c r="D7" s="310">
        <f t="shared" si="1"/>
        <v>0.82309080370370369</v>
      </c>
      <c r="E7" s="309">
        <f>B7-C7</f>
        <v>47765.483000000007</v>
      </c>
    </row>
    <row r="8" spans="1:5" ht="18.75" x14ac:dyDescent="0.3">
      <c r="A8" s="305"/>
      <c r="B8" s="305"/>
      <c r="C8" s="305"/>
      <c r="D8" s="305"/>
      <c r="E8" s="305"/>
    </row>
    <row r="9" spans="1:5" ht="18.75" x14ac:dyDescent="0.3">
      <c r="A9" s="305"/>
      <c r="B9" s="305"/>
      <c r="C9" s="305"/>
      <c r="D9" s="305"/>
      <c r="E9" s="305"/>
    </row>
    <row r="10" spans="1:5" ht="18.75" x14ac:dyDescent="0.3">
      <c r="A10" s="305" t="s">
        <v>223</v>
      </c>
      <c r="B10" s="305"/>
      <c r="C10" s="305"/>
      <c r="D10" s="305"/>
      <c r="E10" s="305"/>
    </row>
    <row r="11" spans="1:5" ht="18.75" x14ac:dyDescent="0.3">
      <c r="A11" s="305" t="s">
        <v>226</v>
      </c>
      <c r="B11" s="305"/>
      <c r="C11" s="305"/>
      <c r="D11" s="305"/>
      <c r="E11" s="305"/>
    </row>
    <row r="12" spans="1:5" ht="18.75" x14ac:dyDescent="0.3">
      <c r="A12" s="305"/>
      <c r="B12" s="305"/>
      <c r="C12" s="305"/>
      <c r="D12" s="305"/>
      <c r="E12" s="305"/>
    </row>
    <row r="13" spans="1:5" ht="18.75" x14ac:dyDescent="0.3">
      <c r="A13" s="305"/>
      <c r="B13" s="305"/>
      <c r="C13" s="305"/>
      <c r="D13" s="305"/>
      <c r="E13" s="305"/>
    </row>
    <row r="14" spans="1:5" ht="18.75" x14ac:dyDescent="0.3">
      <c r="A14" s="305"/>
      <c r="B14" s="305"/>
      <c r="C14" s="305"/>
      <c r="D14" s="305"/>
      <c r="E14" s="305"/>
    </row>
    <row r="15" spans="1:5" ht="18.75" x14ac:dyDescent="0.3">
      <c r="A15" s="305"/>
      <c r="B15" s="305"/>
      <c r="C15" s="305"/>
      <c r="D15" s="305"/>
      <c r="E15" s="305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</vt:lpstr>
      <vt:lpstr>Приложение 15.06.2021</vt:lpstr>
      <vt:lpstr>Лист2</vt:lpstr>
      <vt:lpstr>Координаты</vt:lpstr>
      <vt:lpstr>Лист1</vt:lpstr>
      <vt:lpstr>Координаты!Заголовки_для_печати</vt:lpstr>
      <vt:lpstr>Приложение!Заголовки_для_печати</vt:lpstr>
      <vt:lpstr>'Приложение 15.06.2021'!Заголовки_для_печати</vt:lpstr>
      <vt:lpstr>Координаты!Область_печати</vt:lpstr>
      <vt:lpstr>Лист2!Область_печати</vt:lpstr>
      <vt:lpstr>Приложение!Область_печати</vt:lpstr>
      <vt:lpstr>'Приложение 15.06.2021'!Область_печати</vt:lpstr>
    </vt:vector>
  </TitlesOfParts>
  <Company>МЭР РФ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Image-ПК</dc:creator>
  <cp:lastModifiedBy>Иван Андреевич</cp:lastModifiedBy>
  <cp:lastPrinted>2021-10-06T06:20:38Z</cp:lastPrinted>
  <dcterms:created xsi:type="dcterms:W3CDTF">2013-03-13T11:32:14Z</dcterms:created>
  <dcterms:modified xsi:type="dcterms:W3CDTF">2022-04-08T07:40:00Z</dcterms:modified>
</cp:coreProperties>
</file>